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823413bfcc652d8/Práce/IPR Praha/158-Královská cesta/01_PRACOVNÍ/"/>
    </mc:Choice>
  </mc:AlternateContent>
  <xr:revisionPtr revIDLastSave="522" documentId="10_ncr:100000_{83EF7642-9EF5-49D7-BA1B-49CA75683F53}" xr6:coauthVersionLast="43" xr6:coauthVersionMax="44" xr10:uidLastSave="{80FCD6A4-1C0E-4E4A-816B-43477C4F2400}"/>
  <bookViews>
    <workbookView xWindow="-120" yWindow="-120" windowWidth="29040" windowHeight="15840" xr2:uid="{58EF209C-E2FF-45AA-A4E8-673A055B032F}"/>
  </bookViews>
  <sheets>
    <sheet name="HLAVNÍ_VÝSLEDK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238" i="1" l="1"/>
  <c r="V237" i="1"/>
  <c r="V236" i="1"/>
  <c r="V235" i="1"/>
  <c r="V234" i="1"/>
  <c r="V233" i="1"/>
  <c r="U238" i="1"/>
  <c r="U237" i="1"/>
  <c r="U236" i="1"/>
  <c r="U235" i="1"/>
  <c r="U234" i="1"/>
  <c r="U233" i="1"/>
  <c r="T238" i="1"/>
  <c r="T237" i="1"/>
  <c r="T236" i="1"/>
  <c r="T234" i="1"/>
  <c r="T233" i="1"/>
  <c r="S238" i="1"/>
  <c r="S237" i="1"/>
  <c r="S235" i="1"/>
  <c r="S234" i="1"/>
  <c r="S233" i="1"/>
  <c r="R238" i="1"/>
  <c r="R237" i="1"/>
  <c r="R236" i="1"/>
  <c r="R235" i="1"/>
  <c r="R234" i="1"/>
  <c r="R233" i="1"/>
  <c r="Q238" i="1"/>
  <c r="Q237" i="1"/>
  <c r="Q236" i="1"/>
  <c r="Q235" i="1"/>
  <c r="Q234" i="1"/>
  <c r="Q233" i="1"/>
  <c r="P238" i="1"/>
  <c r="P237" i="1"/>
  <c r="P236" i="1"/>
  <c r="P235" i="1"/>
  <c r="P234" i="1"/>
  <c r="P233" i="1"/>
  <c r="O238" i="1"/>
  <c r="O237" i="1"/>
  <c r="O236" i="1"/>
  <c r="O235" i="1"/>
  <c r="O234" i="1"/>
  <c r="O233" i="1"/>
  <c r="N238" i="1"/>
  <c r="N237" i="1"/>
  <c r="N235" i="1"/>
  <c r="N233" i="1"/>
  <c r="M238" i="1"/>
  <c r="M237" i="1"/>
  <c r="M236" i="1"/>
  <c r="M235" i="1"/>
  <c r="M234" i="1"/>
  <c r="M233" i="1"/>
  <c r="L238" i="1"/>
  <c r="L237" i="1"/>
  <c r="L236" i="1"/>
  <c r="L235" i="1"/>
  <c r="L234" i="1"/>
  <c r="L233" i="1"/>
  <c r="K238" i="1"/>
  <c r="K237" i="1"/>
  <c r="K235" i="1"/>
  <c r="K234" i="1"/>
  <c r="K233" i="1"/>
  <c r="J238" i="1"/>
  <c r="J237" i="1"/>
  <c r="J236" i="1"/>
  <c r="J235" i="1"/>
  <c r="J234" i="1"/>
  <c r="J233" i="1"/>
  <c r="I238" i="1"/>
  <c r="I237" i="1"/>
  <c r="I236" i="1"/>
  <c r="I235" i="1"/>
  <c r="I234" i="1"/>
  <c r="I233" i="1"/>
  <c r="H238" i="1"/>
  <c r="H237" i="1"/>
  <c r="H236" i="1"/>
  <c r="H235" i="1"/>
  <c r="H234" i="1"/>
  <c r="H233" i="1"/>
  <c r="G238" i="1"/>
  <c r="G237" i="1"/>
  <c r="G235" i="1"/>
  <c r="G234" i="1"/>
  <c r="G233" i="1"/>
  <c r="U230" i="1"/>
  <c r="T230" i="1"/>
  <c r="T229" i="1"/>
  <c r="T228" i="1"/>
  <c r="T227" i="1"/>
  <c r="S230" i="1"/>
  <c r="S229" i="1"/>
  <c r="S228" i="1"/>
  <c r="S227" i="1"/>
  <c r="R230" i="1"/>
  <c r="R229" i="1"/>
  <c r="R228" i="1"/>
  <c r="R227" i="1"/>
  <c r="Q230" i="1"/>
  <c r="Q229" i="1"/>
  <c r="Q228" i="1"/>
  <c r="Q227" i="1"/>
  <c r="P230" i="1"/>
  <c r="P229" i="1"/>
  <c r="P228" i="1"/>
  <c r="P227" i="1"/>
  <c r="O230" i="1"/>
  <c r="O229" i="1"/>
  <c r="O228" i="1"/>
  <c r="O227" i="1"/>
  <c r="N230" i="1"/>
  <c r="N229" i="1"/>
  <c r="N228" i="1"/>
  <c r="N227" i="1"/>
  <c r="M230" i="1"/>
  <c r="M229" i="1"/>
  <c r="M228" i="1"/>
  <c r="M227" i="1"/>
  <c r="L230" i="1"/>
  <c r="L229" i="1"/>
  <c r="L228" i="1"/>
  <c r="L227" i="1"/>
  <c r="K229" i="1"/>
  <c r="K228" i="1"/>
  <c r="K227" i="1"/>
  <c r="J229" i="1"/>
  <c r="J228" i="1"/>
  <c r="J227" i="1"/>
  <c r="I230" i="1"/>
  <c r="I229" i="1"/>
  <c r="I228" i="1"/>
  <c r="I227" i="1"/>
  <c r="H230" i="1"/>
  <c r="H228" i="1"/>
  <c r="H227" i="1"/>
  <c r="G230" i="1"/>
  <c r="G229" i="1"/>
  <c r="V224" i="1"/>
  <c r="V223" i="1"/>
  <c r="V222" i="1"/>
  <c r="V221" i="1"/>
  <c r="U224" i="1"/>
  <c r="U223" i="1"/>
  <c r="U222" i="1"/>
  <c r="U221" i="1"/>
  <c r="T224" i="1"/>
  <c r="T223" i="1"/>
  <c r="T222" i="1"/>
  <c r="T221" i="1"/>
  <c r="S224" i="1"/>
  <c r="S223" i="1"/>
  <c r="S222" i="1"/>
  <c r="S221" i="1"/>
  <c r="R224" i="1"/>
  <c r="R223" i="1"/>
  <c r="R222" i="1"/>
  <c r="R221" i="1"/>
  <c r="Q224" i="1"/>
  <c r="Q223" i="1"/>
  <c r="Q222" i="1"/>
  <c r="Q221" i="1"/>
  <c r="P224" i="1"/>
  <c r="P223" i="1"/>
  <c r="P222" i="1"/>
  <c r="P221" i="1"/>
  <c r="O224" i="1"/>
  <c r="O223" i="1"/>
  <c r="O222" i="1"/>
  <c r="O221" i="1"/>
  <c r="N224" i="1"/>
  <c r="N223" i="1"/>
  <c r="N222" i="1"/>
  <c r="N221" i="1"/>
  <c r="M224" i="1"/>
  <c r="M223" i="1"/>
  <c r="M222" i="1"/>
  <c r="M221" i="1"/>
  <c r="L224" i="1"/>
  <c r="L223" i="1"/>
  <c r="L222" i="1"/>
  <c r="L221" i="1"/>
  <c r="K224" i="1"/>
  <c r="K223" i="1"/>
  <c r="K222" i="1"/>
  <c r="K221" i="1"/>
  <c r="J224" i="1"/>
  <c r="J223" i="1"/>
  <c r="J222" i="1"/>
  <c r="J221" i="1"/>
  <c r="I224" i="1"/>
  <c r="I223" i="1"/>
  <c r="I222" i="1"/>
  <c r="I221" i="1"/>
  <c r="H224" i="1"/>
  <c r="H223" i="1"/>
  <c r="H222" i="1"/>
  <c r="H221" i="1"/>
  <c r="G224" i="1"/>
  <c r="G223" i="1"/>
  <c r="G222" i="1"/>
  <c r="G221" i="1"/>
  <c r="V218" i="1"/>
  <c r="V217" i="1"/>
  <c r="V216" i="1"/>
  <c r="V215" i="1"/>
  <c r="V214" i="1"/>
  <c r="V213" i="1"/>
  <c r="U218" i="1"/>
  <c r="U217" i="1"/>
  <c r="U216" i="1"/>
  <c r="U215" i="1"/>
  <c r="U214" i="1"/>
  <c r="U213" i="1"/>
  <c r="T220" i="1"/>
  <c r="T219" i="1"/>
  <c r="T218" i="1"/>
  <c r="T217" i="1"/>
  <c r="T216" i="1"/>
  <c r="T215" i="1"/>
  <c r="T214" i="1"/>
  <c r="T213" i="1"/>
  <c r="S217" i="1"/>
  <c r="S218" i="1"/>
  <c r="S216" i="1"/>
  <c r="S215" i="1"/>
  <c r="S214" i="1"/>
  <c r="S213" i="1"/>
  <c r="R220" i="1"/>
  <c r="R219" i="1"/>
  <c r="R218" i="1"/>
  <c r="R217" i="1"/>
  <c r="R216" i="1"/>
  <c r="R215" i="1"/>
  <c r="R214" i="1"/>
  <c r="R213" i="1"/>
  <c r="Q220" i="1"/>
  <c r="Q219" i="1"/>
  <c r="Q218" i="1"/>
  <c r="Q217" i="1"/>
  <c r="Q216" i="1"/>
  <c r="Q215" i="1"/>
  <c r="Q214" i="1"/>
  <c r="Q213" i="1"/>
  <c r="P220" i="1"/>
  <c r="P219" i="1"/>
  <c r="P218" i="1"/>
  <c r="P217" i="1"/>
  <c r="P216" i="1"/>
  <c r="P215" i="1"/>
  <c r="P214" i="1"/>
  <c r="P213" i="1"/>
  <c r="O219" i="1"/>
  <c r="O218" i="1"/>
  <c r="O217" i="1"/>
  <c r="O216" i="1"/>
  <c r="O215" i="1"/>
  <c r="O214" i="1"/>
  <c r="O213" i="1"/>
  <c r="N219" i="1"/>
  <c r="N218" i="1"/>
  <c r="N217" i="1"/>
  <c r="N216" i="1"/>
  <c r="N215" i="1"/>
  <c r="N214" i="1"/>
  <c r="N213" i="1"/>
  <c r="M220" i="1"/>
  <c r="M219" i="1"/>
  <c r="M218" i="1"/>
  <c r="M217" i="1"/>
  <c r="M216" i="1"/>
  <c r="M215" i="1"/>
  <c r="M214" i="1"/>
  <c r="M213" i="1"/>
  <c r="L220" i="1"/>
  <c r="L219" i="1"/>
  <c r="L218" i="1"/>
  <c r="L217" i="1"/>
  <c r="L216" i="1"/>
  <c r="L215" i="1"/>
  <c r="L214" i="1"/>
  <c r="L213" i="1"/>
  <c r="K220" i="1"/>
  <c r="K219" i="1"/>
  <c r="J220" i="1"/>
  <c r="J219" i="1"/>
  <c r="I220" i="1"/>
  <c r="I219" i="1"/>
  <c r="H220" i="1"/>
  <c r="H219" i="1"/>
  <c r="K218" i="1"/>
  <c r="K217" i="1"/>
  <c r="K216" i="1"/>
  <c r="K215" i="1"/>
  <c r="K214" i="1"/>
  <c r="K213" i="1"/>
  <c r="J218" i="1"/>
  <c r="J217" i="1"/>
  <c r="J216" i="1"/>
  <c r="J215" i="1"/>
  <c r="J214" i="1"/>
  <c r="J213" i="1"/>
  <c r="I217" i="1"/>
  <c r="I216" i="1"/>
  <c r="I215" i="1"/>
  <c r="I214" i="1"/>
  <c r="I213" i="1"/>
  <c r="H218" i="1"/>
  <c r="H217" i="1"/>
  <c r="H216" i="1"/>
  <c r="H215" i="1"/>
  <c r="H214" i="1"/>
  <c r="H213" i="1"/>
  <c r="G217" i="1"/>
  <c r="G216" i="1"/>
  <c r="G215" i="1"/>
  <c r="G214" i="1"/>
  <c r="G213" i="1"/>
  <c r="V212" i="1"/>
  <c r="V211" i="1"/>
  <c r="U212" i="1"/>
  <c r="U211" i="1"/>
  <c r="T212" i="1"/>
  <c r="T211" i="1"/>
  <c r="S212" i="1"/>
  <c r="S211" i="1"/>
  <c r="R212" i="1"/>
  <c r="R211" i="1"/>
  <c r="Q212" i="1"/>
  <c r="Q211" i="1"/>
  <c r="P212" i="1"/>
  <c r="P211" i="1"/>
  <c r="O212" i="1"/>
  <c r="O211" i="1"/>
  <c r="N212" i="1"/>
  <c r="N211" i="1"/>
  <c r="M212" i="1"/>
  <c r="M211" i="1"/>
  <c r="L212" i="1"/>
  <c r="L211" i="1"/>
  <c r="K212" i="1"/>
  <c r="K211" i="1"/>
  <c r="J212" i="1"/>
  <c r="J211" i="1"/>
  <c r="I212" i="1"/>
  <c r="I211" i="1"/>
  <c r="H212" i="1"/>
  <c r="H211" i="1"/>
  <c r="G212" i="1"/>
  <c r="G211" i="1"/>
  <c r="V207" i="1"/>
  <c r="V206" i="1"/>
  <c r="V205" i="1"/>
  <c r="V204" i="1"/>
  <c r="V203" i="1"/>
  <c r="V202" i="1"/>
  <c r="U207" i="1"/>
  <c r="U206" i="1"/>
  <c r="U205" i="1"/>
  <c r="U204" i="1"/>
  <c r="U203" i="1"/>
  <c r="U202" i="1"/>
  <c r="T207" i="1"/>
  <c r="T206" i="1"/>
  <c r="T205" i="1"/>
  <c r="T204" i="1"/>
  <c r="T203" i="1"/>
  <c r="T202" i="1"/>
  <c r="S206" i="1"/>
  <c r="S205" i="1"/>
  <c r="S204" i="1"/>
  <c r="S203" i="1"/>
  <c r="S202" i="1"/>
  <c r="R206" i="1"/>
  <c r="R205" i="1"/>
  <c r="R204" i="1"/>
  <c r="R203" i="1"/>
  <c r="R202" i="1"/>
  <c r="Q207" i="1"/>
  <c r="Q206" i="1"/>
  <c r="Q205" i="1"/>
  <c r="Q204" i="1"/>
  <c r="Q203" i="1"/>
  <c r="Q202" i="1"/>
  <c r="P207" i="1"/>
  <c r="P206" i="1"/>
  <c r="P205" i="1"/>
  <c r="P204" i="1"/>
  <c r="P203" i="1"/>
  <c r="P202" i="1"/>
  <c r="O206" i="1"/>
  <c r="O205" i="1"/>
  <c r="O204" i="1"/>
  <c r="O203" i="1"/>
  <c r="O202" i="1"/>
  <c r="N205" i="1"/>
  <c r="N204" i="1"/>
  <c r="N203" i="1"/>
  <c r="N202" i="1"/>
  <c r="M207" i="1"/>
  <c r="M206" i="1"/>
  <c r="M205" i="1"/>
  <c r="M204" i="1"/>
  <c r="M203" i="1"/>
  <c r="M202" i="1"/>
  <c r="L205" i="1"/>
  <c r="L204" i="1"/>
  <c r="L203" i="1"/>
  <c r="L202" i="1"/>
  <c r="K206" i="1"/>
  <c r="K205" i="1"/>
  <c r="K204" i="1"/>
  <c r="K203" i="1"/>
  <c r="K202" i="1"/>
  <c r="J207" i="1"/>
  <c r="J206" i="1"/>
  <c r="J205" i="1"/>
  <c r="J204" i="1"/>
  <c r="J203" i="1"/>
  <c r="J202" i="1"/>
  <c r="I207" i="1"/>
  <c r="I206" i="1"/>
  <c r="I205" i="1"/>
  <c r="I204" i="1"/>
  <c r="I203" i="1"/>
  <c r="I202" i="1"/>
  <c r="H207" i="1"/>
  <c r="H206" i="1"/>
  <c r="H205" i="1"/>
  <c r="H204" i="1"/>
  <c r="H203" i="1"/>
  <c r="H202" i="1"/>
  <c r="G207" i="1"/>
  <c r="G206" i="1"/>
  <c r="G205" i="1"/>
  <c r="G204" i="1"/>
  <c r="G203" i="1"/>
  <c r="G202" i="1"/>
  <c r="V28" i="1" l="1"/>
  <c r="V27" i="1"/>
  <c r="U28" i="1"/>
  <c r="U27" i="1"/>
  <c r="T28" i="1"/>
  <c r="T27" i="1"/>
  <c r="S28" i="1"/>
  <c r="S27" i="1"/>
  <c r="R28" i="1"/>
  <c r="R27" i="1"/>
  <c r="Q28" i="1"/>
  <c r="Q27" i="1"/>
  <c r="P28" i="1"/>
  <c r="P27" i="1"/>
  <c r="O28" i="1"/>
  <c r="O27" i="1"/>
  <c r="N28" i="1"/>
  <c r="N27" i="1"/>
  <c r="M28" i="1"/>
  <c r="M27" i="1"/>
  <c r="L28" i="1"/>
  <c r="L27" i="1"/>
  <c r="K28" i="1"/>
  <c r="K27" i="1"/>
  <c r="J28" i="1"/>
  <c r="J27" i="1"/>
  <c r="I28" i="1"/>
  <c r="I27" i="1"/>
  <c r="H28" i="1"/>
  <c r="H27" i="1"/>
  <c r="G28" i="1"/>
  <c r="G27" i="1"/>
  <c r="V32" i="1"/>
  <c r="V31" i="1"/>
  <c r="V30" i="1"/>
  <c r="V29" i="1"/>
  <c r="U32" i="1"/>
  <c r="U31" i="1"/>
  <c r="U30" i="1"/>
  <c r="U29" i="1"/>
  <c r="T32" i="1"/>
  <c r="T31" i="1"/>
  <c r="T30" i="1"/>
  <c r="T29" i="1"/>
  <c r="S32" i="1"/>
  <c r="S31" i="1"/>
  <c r="S30" i="1"/>
  <c r="S29" i="1"/>
  <c r="R32" i="1"/>
  <c r="R31" i="1"/>
  <c r="R30" i="1"/>
  <c r="R29" i="1"/>
  <c r="Q32" i="1"/>
  <c r="Q31" i="1"/>
  <c r="Q30" i="1"/>
  <c r="Q29" i="1"/>
  <c r="P30" i="1"/>
  <c r="P29" i="1"/>
  <c r="O30" i="1"/>
  <c r="O29" i="1"/>
  <c r="P31" i="1"/>
  <c r="O31" i="1"/>
  <c r="P32" i="1"/>
  <c r="O32" i="1"/>
  <c r="N32" i="1"/>
  <c r="N31" i="1"/>
  <c r="N30" i="1"/>
  <c r="N29" i="1"/>
  <c r="M32" i="1"/>
  <c r="M31" i="1"/>
  <c r="M30" i="1"/>
  <c r="M29" i="1"/>
  <c r="K29" i="1"/>
  <c r="J29" i="1"/>
  <c r="J30" i="1"/>
  <c r="K30" i="1"/>
  <c r="J31" i="1"/>
  <c r="K31" i="1"/>
  <c r="J32" i="1"/>
  <c r="K32" i="1"/>
  <c r="L32" i="1"/>
  <c r="L31" i="1"/>
  <c r="L30" i="1"/>
  <c r="L29" i="1"/>
  <c r="I32" i="1"/>
  <c r="I31" i="1"/>
  <c r="I30" i="1"/>
  <c r="I29" i="1"/>
  <c r="H32" i="1"/>
  <c r="H31" i="1"/>
  <c r="H30" i="1"/>
  <c r="H29" i="1"/>
  <c r="G32" i="1"/>
  <c r="G31" i="1"/>
  <c r="G30" i="1"/>
  <c r="G29" i="1"/>
  <c r="V184" i="1" l="1"/>
  <c r="V183" i="1"/>
  <c r="T184" i="1"/>
  <c r="T183" i="1"/>
  <c r="O183" i="1"/>
  <c r="O184" i="1"/>
  <c r="N184" i="1"/>
  <c r="N183" i="1"/>
  <c r="K183" i="1"/>
  <c r="K184" i="1"/>
  <c r="J184" i="1"/>
  <c r="J183" i="1"/>
  <c r="G184" i="1"/>
  <c r="G183" i="1"/>
  <c r="V186" i="1"/>
  <c r="V185" i="1"/>
  <c r="U185" i="1"/>
  <c r="U186" i="1"/>
  <c r="T186" i="1"/>
  <c r="T185" i="1"/>
  <c r="O185" i="1"/>
  <c r="O186" i="1"/>
  <c r="N186" i="1"/>
  <c r="N185" i="1"/>
  <c r="K186" i="1"/>
  <c r="K185" i="1"/>
  <c r="J186" i="1"/>
  <c r="J185" i="1"/>
  <c r="G186" i="1"/>
  <c r="G185" i="1"/>
  <c r="T188" i="1"/>
  <c r="T187" i="1"/>
  <c r="V188" i="1"/>
  <c r="V187" i="1"/>
  <c r="O188" i="1"/>
  <c r="O187" i="1"/>
  <c r="N188" i="1"/>
  <c r="N187" i="1"/>
  <c r="K188" i="1"/>
  <c r="K187" i="1"/>
  <c r="J188" i="1"/>
  <c r="J187" i="1"/>
  <c r="G188" i="1"/>
  <c r="G187" i="1"/>
  <c r="U189" i="1"/>
  <c r="T189" i="1"/>
  <c r="T190" i="1"/>
  <c r="S190" i="1"/>
  <c r="S189" i="1"/>
  <c r="P190" i="1"/>
  <c r="P189" i="1"/>
  <c r="O190" i="1"/>
  <c r="O189" i="1"/>
  <c r="M190" i="1"/>
  <c r="M189" i="1"/>
  <c r="N190" i="1"/>
  <c r="N189" i="1"/>
  <c r="L190" i="1"/>
  <c r="L189" i="1"/>
  <c r="K190" i="1"/>
  <c r="K189" i="1"/>
  <c r="I190" i="1"/>
  <c r="I189" i="1"/>
  <c r="G190" i="1"/>
  <c r="G189" i="1"/>
  <c r="V190" i="1"/>
  <c r="U190" i="1"/>
  <c r="R190" i="1"/>
  <c r="Q190" i="1"/>
  <c r="J190" i="1"/>
  <c r="H190" i="1"/>
  <c r="V189" i="1"/>
  <c r="R189" i="1"/>
  <c r="Q189" i="1"/>
  <c r="J189" i="1"/>
  <c r="H189" i="1"/>
  <c r="T192" i="1"/>
  <c r="T191" i="1"/>
  <c r="V192" i="1"/>
  <c r="V191" i="1"/>
  <c r="U192" i="1"/>
  <c r="U191" i="1"/>
  <c r="S192" i="1"/>
  <c r="S191" i="1"/>
  <c r="R192" i="1"/>
  <c r="R191" i="1"/>
  <c r="Q192" i="1"/>
  <c r="Q191" i="1"/>
  <c r="O191" i="1"/>
  <c r="O192" i="1"/>
  <c r="N192" i="1"/>
  <c r="N191" i="1"/>
  <c r="P192" i="1"/>
  <c r="P191" i="1"/>
  <c r="K192" i="1"/>
  <c r="K191" i="1"/>
  <c r="J192" i="1"/>
  <c r="J191" i="1"/>
  <c r="M192" i="1"/>
  <c r="M191" i="1"/>
  <c r="L192" i="1"/>
  <c r="L191" i="1"/>
  <c r="I192" i="1"/>
  <c r="I191" i="1"/>
  <c r="H192" i="1"/>
  <c r="H191" i="1"/>
  <c r="G192" i="1"/>
  <c r="G191" i="1"/>
  <c r="V195" i="1"/>
  <c r="V194" i="1"/>
  <c r="U195" i="1"/>
  <c r="U194" i="1"/>
  <c r="T195" i="1"/>
  <c r="T194" i="1"/>
  <c r="S195" i="1"/>
  <c r="S194" i="1"/>
  <c r="R195" i="1"/>
  <c r="R194" i="1"/>
  <c r="Q195" i="1"/>
  <c r="Q194" i="1"/>
  <c r="P195" i="1"/>
  <c r="P194" i="1"/>
  <c r="O194" i="1"/>
  <c r="O195" i="1"/>
  <c r="N195" i="1"/>
  <c r="N194" i="1"/>
  <c r="M195" i="1"/>
  <c r="M194" i="1"/>
  <c r="L195" i="1"/>
  <c r="L194" i="1"/>
  <c r="K195" i="1"/>
  <c r="K194" i="1"/>
  <c r="J195" i="1"/>
  <c r="J194" i="1"/>
  <c r="I195" i="1"/>
  <c r="I194" i="1"/>
  <c r="H195" i="1"/>
  <c r="H194" i="1"/>
  <c r="G195" i="1"/>
  <c r="G194" i="1"/>
  <c r="T197" i="1"/>
  <c r="T196" i="1"/>
  <c r="V197" i="1"/>
  <c r="V196" i="1"/>
  <c r="U197" i="1"/>
  <c r="U196" i="1"/>
  <c r="S197" i="1"/>
  <c r="S196" i="1"/>
  <c r="R197" i="1"/>
  <c r="R196" i="1"/>
  <c r="Q197" i="1"/>
  <c r="Q196" i="1"/>
  <c r="P197" i="1"/>
  <c r="P196" i="1"/>
  <c r="O197" i="1"/>
  <c r="O196" i="1"/>
  <c r="N197" i="1"/>
  <c r="N196" i="1"/>
  <c r="M197" i="1"/>
  <c r="M196" i="1"/>
  <c r="L197" i="1"/>
  <c r="L196" i="1"/>
  <c r="K197" i="1"/>
  <c r="K196" i="1"/>
  <c r="J197" i="1"/>
  <c r="J196" i="1"/>
  <c r="I197" i="1"/>
  <c r="I196" i="1"/>
  <c r="H197" i="1"/>
  <c r="H196" i="1"/>
  <c r="G197" i="1"/>
  <c r="G196" i="1"/>
  <c r="N198" i="1"/>
  <c r="N199" i="1"/>
  <c r="O199" i="1"/>
  <c r="O198" i="1"/>
  <c r="K199" i="1"/>
  <c r="K198" i="1"/>
  <c r="J199" i="1"/>
  <c r="J198" i="1"/>
  <c r="T199" i="1"/>
  <c r="T198" i="1"/>
  <c r="V199" i="1"/>
  <c r="V198" i="1"/>
  <c r="U199" i="1"/>
  <c r="U198" i="1"/>
  <c r="S199" i="1"/>
  <c r="S198" i="1"/>
  <c r="R199" i="1"/>
  <c r="R198" i="1"/>
  <c r="Q199" i="1"/>
  <c r="Q198" i="1"/>
  <c r="P199" i="1"/>
  <c r="P198" i="1"/>
  <c r="M199" i="1"/>
  <c r="M198" i="1"/>
  <c r="L199" i="1"/>
  <c r="L198" i="1"/>
  <c r="I199" i="1"/>
  <c r="I198" i="1"/>
  <c r="H199" i="1"/>
  <c r="H198" i="1"/>
  <c r="G199" i="1"/>
  <c r="G198" i="1"/>
  <c r="O201" i="1"/>
  <c r="O200" i="1"/>
  <c r="N201" i="1"/>
  <c r="N200" i="1"/>
  <c r="T201" i="1"/>
  <c r="T200" i="1"/>
  <c r="V201" i="1"/>
  <c r="V200" i="1"/>
  <c r="U201" i="1"/>
  <c r="U200" i="1"/>
  <c r="S201" i="1"/>
  <c r="S200" i="1"/>
  <c r="R201" i="1"/>
  <c r="R200" i="1"/>
  <c r="Q201" i="1"/>
  <c r="Q200" i="1"/>
  <c r="P201" i="1"/>
  <c r="P200" i="1"/>
  <c r="M201" i="1"/>
  <c r="M200" i="1"/>
  <c r="L201" i="1"/>
  <c r="L200" i="1"/>
  <c r="K201" i="1"/>
  <c r="K200" i="1"/>
  <c r="J201" i="1"/>
  <c r="J200" i="1"/>
  <c r="I201" i="1"/>
  <c r="I200" i="1"/>
  <c r="H201" i="1"/>
  <c r="H200" i="1"/>
  <c r="G201" i="1"/>
  <c r="G200" i="1"/>
  <c r="S268" i="1"/>
  <c r="S267" i="1"/>
  <c r="R268" i="1"/>
  <c r="R267" i="1"/>
  <c r="Q268" i="1"/>
  <c r="Q267" i="1"/>
  <c r="P268" i="1"/>
  <c r="P267" i="1"/>
  <c r="O270" i="1"/>
  <c r="O269" i="1"/>
  <c r="O268" i="1"/>
  <c r="O267" i="1"/>
  <c r="N270" i="1"/>
  <c r="N269" i="1"/>
  <c r="N268" i="1"/>
  <c r="N267" i="1"/>
  <c r="N266" i="1"/>
  <c r="N265" i="1"/>
  <c r="O266" i="1"/>
  <c r="O265" i="1"/>
  <c r="V270" i="1"/>
  <c r="V269" i="1"/>
  <c r="V268" i="1"/>
  <c r="V267" i="1"/>
  <c r="V266" i="1"/>
  <c r="V265" i="1"/>
  <c r="T270" i="1"/>
  <c r="T269" i="1"/>
  <c r="U268" i="1"/>
  <c r="U267" i="1"/>
  <c r="T268" i="1"/>
  <c r="T267" i="1"/>
  <c r="T266" i="1"/>
  <c r="T265" i="1"/>
  <c r="M268" i="1"/>
  <c r="M267" i="1"/>
  <c r="L268" i="1"/>
  <c r="L267" i="1"/>
  <c r="K270" i="1"/>
  <c r="K269" i="1"/>
  <c r="K268" i="1"/>
  <c r="K267" i="1"/>
  <c r="K266" i="1"/>
  <c r="K265" i="1"/>
  <c r="J270" i="1"/>
  <c r="J269" i="1"/>
  <c r="J268" i="1"/>
  <c r="J267" i="1"/>
  <c r="J266" i="1"/>
  <c r="J265" i="1"/>
  <c r="I268" i="1"/>
  <c r="I267" i="1"/>
  <c r="H268" i="1"/>
  <c r="H267" i="1"/>
  <c r="G270" i="1"/>
  <c r="G269" i="1"/>
  <c r="G268" i="1"/>
  <c r="G267" i="1"/>
  <c r="G266" i="1"/>
  <c r="G265" i="1"/>
  <c r="S270" i="1"/>
  <c r="S269" i="1"/>
  <c r="R270" i="1"/>
  <c r="R269" i="1"/>
  <c r="Q270" i="1"/>
  <c r="Q269" i="1"/>
  <c r="P270" i="1"/>
  <c r="P269" i="1"/>
  <c r="M270" i="1"/>
  <c r="M269" i="1"/>
  <c r="L270" i="1"/>
  <c r="L269" i="1"/>
  <c r="I270" i="1"/>
  <c r="I269" i="1"/>
  <c r="H270" i="1"/>
  <c r="H269" i="1"/>
  <c r="U270" i="1"/>
  <c r="U269" i="1"/>
  <c r="U266" i="1"/>
  <c r="U265" i="1"/>
  <c r="S266" i="1"/>
  <c r="S265" i="1"/>
  <c r="R266" i="1"/>
  <c r="R265" i="1"/>
  <c r="Q266" i="1"/>
  <c r="Q265" i="1"/>
  <c r="P266" i="1"/>
  <c r="P265" i="1"/>
  <c r="M266" i="1"/>
  <c r="M265" i="1"/>
  <c r="L266" i="1"/>
  <c r="L265" i="1"/>
  <c r="I266" i="1"/>
  <c r="I265" i="1"/>
  <c r="H266" i="1"/>
  <c r="H265" i="1"/>
  <c r="V41" i="1" l="1"/>
  <c r="V40" i="1"/>
  <c r="U41" i="1"/>
  <c r="U40" i="1"/>
  <c r="U39" i="1"/>
  <c r="U37" i="1"/>
  <c r="U36" i="1"/>
  <c r="T41" i="1"/>
  <c r="T40" i="1"/>
  <c r="T39" i="1"/>
  <c r="T38" i="1"/>
  <c r="T36" i="1"/>
  <c r="S41" i="1"/>
  <c r="S40" i="1"/>
  <c r="S39" i="1"/>
  <c r="S38" i="1"/>
  <c r="S37" i="1"/>
  <c r="R41" i="1"/>
  <c r="R40" i="1"/>
  <c r="R39" i="1"/>
  <c r="R38" i="1"/>
  <c r="R37" i="1"/>
  <c r="R36" i="1"/>
  <c r="Q41" i="1"/>
  <c r="Q40" i="1"/>
  <c r="Q39" i="1"/>
  <c r="Q38" i="1"/>
  <c r="Q37" i="1"/>
  <c r="Q36" i="1"/>
  <c r="P41" i="1"/>
  <c r="P40" i="1"/>
  <c r="P39" i="1"/>
  <c r="P38" i="1"/>
  <c r="P37" i="1"/>
  <c r="P36" i="1"/>
  <c r="O41" i="1"/>
  <c r="O40" i="1"/>
  <c r="O39" i="1"/>
  <c r="O38" i="1"/>
  <c r="O36" i="1"/>
  <c r="N41" i="1"/>
  <c r="N40" i="1"/>
  <c r="N39" i="1"/>
  <c r="N38" i="1"/>
  <c r="N37" i="1"/>
  <c r="N36" i="1"/>
  <c r="V38" i="1"/>
  <c r="V37" i="1"/>
  <c r="V36" i="1"/>
  <c r="M41" i="1"/>
  <c r="M40" i="1"/>
  <c r="M38" i="1"/>
  <c r="M37" i="1"/>
  <c r="M36" i="1"/>
  <c r="L41" i="1"/>
  <c r="L40" i="1"/>
  <c r="L39" i="1"/>
  <c r="L37" i="1"/>
  <c r="L36" i="1"/>
  <c r="K41" i="1"/>
  <c r="K40" i="1"/>
  <c r="K39" i="1"/>
  <c r="K38" i="1"/>
  <c r="K37" i="1"/>
  <c r="K36" i="1"/>
  <c r="J41" i="1"/>
  <c r="J40" i="1"/>
  <c r="J39" i="1"/>
  <c r="J37" i="1"/>
  <c r="J36" i="1"/>
  <c r="I41" i="1"/>
  <c r="I40" i="1"/>
  <c r="I39" i="1"/>
  <c r="I36" i="1"/>
  <c r="H41" i="1"/>
  <c r="H40" i="1"/>
  <c r="H38" i="1"/>
  <c r="H36" i="1"/>
  <c r="G41" i="1"/>
  <c r="G40" i="1"/>
  <c r="G39" i="1"/>
  <c r="G38" i="1"/>
  <c r="G36" i="1"/>
  <c r="V14" i="1"/>
  <c r="V13" i="1"/>
  <c r="V12" i="1"/>
  <c r="V11" i="1"/>
  <c r="U14" i="1"/>
  <c r="U13" i="1"/>
  <c r="U12" i="1"/>
  <c r="U11" i="1"/>
  <c r="T14" i="1"/>
  <c r="T13" i="1"/>
  <c r="T12" i="1"/>
  <c r="T11" i="1"/>
  <c r="S14" i="1"/>
  <c r="S13" i="1"/>
  <c r="S12" i="1"/>
  <c r="S11" i="1"/>
  <c r="R14" i="1"/>
  <c r="R13" i="1"/>
  <c r="R12" i="1"/>
  <c r="R11" i="1"/>
  <c r="Q14" i="1"/>
  <c r="Q13" i="1"/>
  <c r="Q12" i="1"/>
  <c r="Q11" i="1"/>
  <c r="P14" i="1"/>
  <c r="P13" i="1"/>
  <c r="P12" i="1"/>
  <c r="P11" i="1"/>
  <c r="O14" i="1"/>
  <c r="O13" i="1"/>
  <c r="O12" i="1"/>
  <c r="O11" i="1"/>
  <c r="N14" i="1"/>
  <c r="N13" i="1"/>
  <c r="N12" i="1"/>
  <c r="N11" i="1"/>
  <c r="M14" i="1"/>
  <c r="M13" i="1"/>
  <c r="M12" i="1"/>
  <c r="M11" i="1"/>
  <c r="L14" i="1"/>
  <c r="L13" i="1"/>
  <c r="L12" i="1"/>
  <c r="L11" i="1"/>
  <c r="K14" i="1"/>
  <c r="K13" i="1"/>
  <c r="K12" i="1"/>
  <c r="K11" i="1"/>
  <c r="J14" i="1"/>
  <c r="J13" i="1"/>
  <c r="J12" i="1"/>
  <c r="J11" i="1"/>
  <c r="I14" i="1"/>
  <c r="I13" i="1"/>
  <c r="I12" i="1"/>
  <c r="I11" i="1"/>
  <c r="H14" i="1"/>
  <c r="H13" i="1"/>
  <c r="H12" i="1"/>
  <c r="H11" i="1"/>
  <c r="G14" i="1"/>
  <c r="G13" i="1"/>
  <c r="G12" i="1"/>
  <c r="V7" i="1"/>
  <c r="V6" i="1"/>
  <c r="V5" i="1"/>
  <c r="V4" i="1"/>
  <c r="V2" i="1"/>
  <c r="U7" i="1"/>
  <c r="U6" i="1"/>
  <c r="U5" i="1"/>
  <c r="U4" i="1"/>
  <c r="U3" i="1"/>
  <c r="U2" i="1"/>
  <c r="T7" i="1"/>
  <c r="T6" i="1"/>
  <c r="T3" i="1"/>
  <c r="T2" i="1"/>
  <c r="S7" i="1"/>
  <c r="S6" i="1"/>
  <c r="S5" i="1"/>
  <c r="S4" i="1"/>
  <c r="S2" i="1"/>
  <c r="R7" i="1"/>
  <c r="R6" i="1"/>
  <c r="R5" i="1"/>
  <c r="R4" i="1"/>
  <c r="R3" i="1"/>
  <c r="R2" i="1"/>
  <c r="Q7" i="1"/>
  <c r="Q6" i="1"/>
  <c r="Q5" i="1"/>
  <c r="Q4" i="1"/>
  <c r="Q3" i="1"/>
  <c r="Q2" i="1"/>
  <c r="P7" i="1"/>
  <c r="P6" i="1"/>
  <c r="P5" i="1"/>
  <c r="P4" i="1"/>
  <c r="P3" i="1"/>
  <c r="P2" i="1"/>
  <c r="O7" i="1"/>
  <c r="O6" i="1"/>
  <c r="O5" i="1"/>
  <c r="O4" i="1"/>
  <c r="O3" i="1"/>
  <c r="O2" i="1"/>
  <c r="N7" i="1"/>
  <c r="N6" i="1"/>
  <c r="N5" i="1"/>
  <c r="N4" i="1"/>
  <c r="N3" i="1"/>
  <c r="N2" i="1"/>
  <c r="M7" i="1"/>
  <c r="M6" i="1"/>
  <c r="M5" i="1"/>
  <c r="M4" i="1"/>
  <c r="M3" i="1"/>
  <c r="M2" i="1"/>
  <c r="L7" i="1"/>
  <c r="L6" i="1"/>
  <c r="L5" i="1"/>
  <c r="L4" i="1"/>
  <c r="L3" i="1"/>
  <c r="L2" i="1"/>
  <c r="K7" i="1"/>
  <c r="K6" i="1"/>
  <c r="K5" i="1"/>
  <c r="K4" i="1"/>
  <c r="K3" i="1"/>
  <c r="K2" i="1"/>
  <c r="I7" i="1"/>
  <c r="I6" i="1"/>
  <c r="I5" i="1"/>
  <c r="I4" i="1"/>
  <c r="I3" i="1"/>
  <c r="I2" i="1"/>
  <c r="J7" i="1"/>
  <c r="J6" i="1"/>
  <c r="J5" i="1"/>
  <c r="J4" i="1"/>
  <c r="J3" i="1"/>
  <c r="J2" i="1"/>
  <c r="H7" i="1"/>
  <c r="H6" i="1"/>
  <c r="H5" i="1"/>
  <c r="H4" i="1"/>
  <c r="H3" i="1"/>
  <c r="H2" i="1"/>
  <c r="G7" i="1"/>
  <c r="G6" i="1"/>
  <c r="G5" i="1"/>
  <c r="G4" i="1"/>
  <c r="G3" i="1"/>
  <c r="G2" i="1"/>
  <c r="M23" i="1"/>
  <c r="M22" i="1"/>
  <c r="M21" i="1"/>
  <c r="M20" i="1"/>
  <c r="M19" i="1"/>
  <c r="M18" i="1"/>
  <c r="U23" i="1"/>
  <c r="U22" i="1"/>
  <c r="U19" i="1"/>
  <c r="U18" i="1"/>
  <c r="T23" i="1"/>
  <c r="T22" i="1"/>
  <c r="T21" i="1"/>
  <c r="T20" i="1"/>
  <c r="T19" i="1"/>
  <c r="T18" i="1"/>
  <c r="S23" i="1"/>
  <c r="S22" i="1"/>
  <c r="S21" i="1"/>
  <c r="S20" i="1"/>
  <c r="S19" i="1"/>
  <c r="S18" i="1"/>
  <c r="R23" i="1"/>
  <c r="R22" i="1"/>
  <c r="R20" i="1"/>
  <c r="R19" i="1"/>
  <c r="R18" i="1"/>
  <c r="Q23" i="1"/>
  <c r="Q22" i="1"/>
  <c r="Q21" i="1"/>
  <c r="Q20" i="1"/>
  <c r="Q19" i="1"/>
  <c r="Q18" i="1"/>
  <c r="P23" i="1"/>
  <c r="P22" i="1"/>
  <c r="P21" i="1"/>
  <c r="P20" i="1"/>
  <c r="P19" i="1"/>
  <c r="P18" i="1"/>
  <c r="O23" i="1"/>
  <c r="O22" i="1"/>
  <c r="O21" i="1"/>
  <c r="O20" i="1"/>
  <c r="O19" i="1"/>
  <c r="O18" i="1"/>
  <c r="N23" i="1"/>
  <c r="N22" i="1"/>
  <c r="N21" i="1"/>
  <c r="N20" i="1"/>
  <c r="N19" i="1"/>
  <c r="N18" i="1"/>
  <c r="L23" i="1"/>
  <c r="L22" i="1"/>
  <c r="L21" i="1"/>
  <c r="L20" i="1"/>
  <c r="L19" i="1"/>
  <c r="L18" i="1"/>
  <c r="K23" i="1"/>
  <c r="K22" i="1"/>
  <c r="K21" i="1"/>
  <c r="K20" i="1"/>
  <c r="K19" i="1"/>
  <c r="K18" i="1"/>
  <c r="J23" i="1"/>
  <c r="J22" i="1"/>
  <c r="J21" i="1"/>
  <c r="J20" i="1"/>
  <c r="J19" i="1"/>
  <c r="J18" i="1"/>
  <c r="I23" i="1"/>
  <c r="I22" i="1"/>
  <c r="I21" i="1"/>
  <c r="I18" i="1"/>
  <c r="H23" i="1"/>
  <c r="H22" i="1"/>
  <c r="H21" i="1"/>
  <c r="H20" i="1"/>
  <c r="H18" i="1"/>
  <c r="V23" i="1"/>
  <c r="V22" i="1"/>
  <c r="V20" i="1"/>
  <c r="V19" i="1"/>
  <c r="G23" i="1"/>
  <c r="G22" i="1"/>
  <c r="G18" i="1"/>
  <c r="S102" i="1" l="1"/>
  <c r="S101" i="1"/>
  <c r="L102" i="1"/>
  <c r="L101" i="1"/>
  <c r="J102" i="1"/>
  <c r="J101" i="1"/>
  <c r="V102" i="1"/>
  <c r="V101" i="1"/>
  <c r="U102" i="1"/>
  <c r="U101" i="1"/>
  <c r="T102" i="1"/>
  <c r="T101" i="1"/>
  <c r="R102" i="1"/>
  <c r="R101" i="1"/>
  <c r="Q102" i="1"/>
  <c r="Q101" i="1"/>
  <c r="P102" i="1"/>
  <c r="P101" i="1"/>
  <c r="O102" i="1"/>
  <c r="O101" i="1"/>
  <c r="N102" i="1"/>
  <c r="N101" i="1"/>
  <c r="M102" i="1"/>
  <c r="M101" i="1"/>
  <c r="I102" i="1"/>
  <c r="I101" i="1"/>
  <c r="H102" i="1"/>
  <c r="H101" i="1"/>
  <c r="G102" i="1"/>
  <c r="G101" i="1"/>
  <c r="R97" i="1"/>
  <c r="R96" i="1"/>
  <c r="R95" i="1"/>
  <c r="R94" i="1"/>
  <c r="R93" i="1"/>
  <c r="R92" i="1"/>
  <c r="L97" i="1"/>
  <c r="L96" i="1"/>
  <c r="L95" i="1"/>
  <c r="L94" i="1"/>
  <c r="L93" i="1"/>
  <c r="L92" i="1"/>
  <c r="V97" i="1"/>
  <c r="V96" i="1"/>
  <c r="V95" i="1"/>
  <c r="V94" i="1"/>
  <c r="V93" i="1"/>
  <c r="V92" i="1"/>
  <c r="U97" i="1"/>
  <c r="U96" i="1"/>
  <c r="U95" i="1"/>
  <c r="U94" i="1"/>
  <c r="U93" i="1"/>
  <c r="U92" i="1"/>
  <c r="T97" i="1"/>
  <c r="T96" i="1"/>
  <c r="T95" i="1"/>
  <c r="T94" i="1"/>
  <c r="T93" i="1"/>
  <c r="T92" i="1"/>
  <c r="S97" i="1"/>
  <c r="S96" i="1"/>
  <c r="S95" i="1"/>
  <c r="S94" i="1"/>
  <c r="S93" i="1"/>
  <c r="S92" i="1"/>
  <c r="Q97" i="1"/>
  <c r="Q96" i="1"/>
  <c r="Q95" i="1"/>
  <c r="Q94" i="1"/>
  <c r="Q93" i="1"/>
  <c r="Q92" i="1"/>
  <c r="P97" i="1"/>
  <c r="P96" i="1"/>
  <c r="P95" i="1"/>
  <c r="P94" i="1"/>
  <c r="P93" i="1"/>
  <c r="P92" i="1"/>
  <c r="O97" i="1"/>
  <c r="O96" i="1"/>
  <c r="O95" i="1"/>
  <c r="O94" i="1"/>
  <c r="O93" i="1"/>
  <c r="O92" i="1"/>
  <c r="N97" i="1"/>
  <c r="N96" i="1"/>
  <c r="N95" i="1"/>
  <c r="N94" i="1"/>
  <c r="N93" i="1"/>
  <c r="N92" i="1"/>
  <c r="M97" i="1"/>
  <c r="M96" i="1"/>
  <c r="M95" i="1"/>
  <c r="M94" i="1"/>
  <c r="M93" i="1"/>
  <c r="M92" i="1"/>
  <c r="K97" i="1"/>
  <c r="K96" i="1"/>
  <c r="K95" i="1"/>
  <c r="K94" i="1"/>
  <c r="K93" i="1"/>
  <c r="K92" i="1"/>
  <c r="J97" i="1"/>
  <c r="J96" i="1"/>
  <c r="J95" i="1"/>
  <c r="J94" i="1"/>
  <c r="J93" i="1"/>
  <c r="J92" i="1"/>
  <c r="I97" i="1"/>
  <c r="I96" i="1"/>
  <c r="I95" i="1"/>
  <c r="I94" i="1"/>
  <c r="I93" i="1"/>
  <c r="I92" i="1"/>
  <c r="H97" i="1"/>
  <c r="H96" i="1"/>
  <c r="H95" i="1"/>
  <c r="H94" i="1"/>
  <c r="H93" i="1"/>
  <c r="H92" i="1"/>
  <c r="G97" i="1"/>
  <c r="G96" i="1"/>
  <c r="G95" i="1"/>
  <c r="G94" i="1"/>
  <c r="G93" i="1"/>
  <c r="G92" i="1"/>
  <c r="P88" i="1"/>
  <c r="P87" i="1"/>
  <c r="P86" i="1"/>
  <c r="P85" i="1"/>
  <c r="P84" i="1"/>
  <c r="P83" i="1"/>
  <c r="L88" i="1"/>
  <c r="L87" i="1"/>
  <c r="L86" i="1"/>
  <c r="L85" i="1"/>
  <c r="L84" i="1"/>
  <c r="L83" i="1"/>
  <c r="V88" i="1"/>
  <c r="V87" i="1"/>
  <c r="V86" i="1"/>
  <c r="V85" i="1"/>
  <c r="V84" i="1"/>
  <c r="V83" i="1"/>
  <c r="U88" i="1"/>
  <c r="U87" i="1"/>
  <c r="U86" i="1"/>
  <c r="U85" i="1"/>
  <c r="U84" i="1"/>
  <c r="U83" i="1"/>
  <c r="T88" i="1"/>
  <c r="T87" i="1"/>
  <c r="T86" i="1"/>
  <c r="T85" i="1"/>
  <c r="T84" i="1"/>
  <c r="T83" i="1"/>
  <c r="S88" i="1"/>
  <c r="S87" i="1"/>
  <c r="S86" i="1"/>
  <c r="S85" i="1"/>
  <c r="S84" i="1"/>
  <c r="S83" i="1"/>
  <c r="R88" i="1"/>
  <c r="R87" i="1"/>
  <c r="R86" i="1"/>
  <c r="R85" i="1"/>
  <c r="R84" i="1"/>
  <c r="R83" i="1"/>
  <c r="Q88" i="1"/>
  <c r="Q87" i="1"/>
  <c r="Q86" i="1"/>
  <c r="Q85" i="1"/>
  <c r="Q84" i="1"/>
  <c r="Q83" i="1"/>
  <c r="O88" i="1"/>
  <c r="O87" i="1"/>
  <c r="O86" i="1"/>
  <c r="O85" i="1"/>
  <c r="O84" i="1"/>
  <c r="O83" i="1"/>
  <c r="N88" i="1"/>
  <c r="N87" i="1"/>
  <c r="N86" i="1"/>
  <c r="N85" i="1"/>
  <c r="N84" i="1"/>
  <c r="N83" i="1"/>
  <c r="M88" i="1"/>
  <c r="M87" i="1"/>
  <c r="M86" i="1"/>
  <c r="M85" i="1"/>
  <c r="M84" i="1"/>
  <c r="M83" i="1"/>
  <c r="K88" i="1"/>
  <c r="K87" i="1"/>
  <c r="K86" i="1"/>
  <c r="K85" i="1"/>
  <c r="K84" i="1"/>
  <c r="K83" i="1"/>
  <c r="J88" i="1"/>
  <c r="J87" i="1"/>
  <c r="J86" i="1"/>
  <c r="J85" i="1"/>
  <c r="J84" i="1"/>
  <c r="J83" i="1"/>
  <c r="I88" i="1"/>
  <c r="I87" i="1"/>
  <c r="I86" i="1"/>
  <c r="I85" i="1"/>
  <c r="I84" i="1"/>
  <c r="I83" i="1"/>
  <c r="H88" i="1"/>
  <c r="H87" i="1"/>
  <c r="H86" i="1"/>
  <c r="H85" i="1"/>
  <c r="H84" i="1"/>
  <c r="H83" i="1"/>
  <c r="G88" i="1"/>
  <c r="G87" i="1"/>
  <c r="G86" i="1"/>
  <c r="G85" i="1"/>
  <c r="G84" i="1"/>
  <c r="G83" i="1"/>
  <c r="N79" i="1"/>
  <c r="N78" i="1"/>
  <c r="N77" i="1"/>
  <c r="N76" i="1"/>
  <c r="N75" i="1"/>
  <c r="N74" i="1"/>
  <c r="M79" i="1"/>
  <c r="M78" i="1"/>
  <c r="M77" i="1"/>
  <c r="M76" i="1"/>
  <c r="M75" i="1"/>
  <c r="M74" i="1"/>
  <c r="L79" i="1"/>
  <c r="L78" i="1"/>
  <c r="L77" i="1"/>
  <c r="L76" i="1"/>
  <c r="L75" i="1"/>
  <c r="L74" i="1"/>
  <c r="V79" i="1"/>
  <c r="V78" i="1"/>
  <c r="V77" i="1"/>
  <c r="V76" i="1"/>
  <c r="U79" i="1"/>
  <c r="U78" i="1"/>
  <c r="U77" i="1"/>
  <c r="U76" i="1"/>
  <c r="U75" i="1"/>
  <c r="U74" i="1"/>
  <c r="T79" i="1"/>
  <c r="T78" i="1"/>
  <c r="T77" i="1"/>
  <c r="T76" i="1"/>
  <c r="T75" i="1"/>
  <c r="T74" i="1"/>
  <c r="S79" i="1"/>
  <c r="S78" i="1"/>
  <c r="S77" i="1"/>
  <c r="S76" i="1"/>
  <c r="S75" i="1"/>
  <c r="S74" i="1"/>
  <c r="R79" i="1"/>
  <c r="R78" i="1"/>
  <c r="R77" i="1"/>
  <c r="R76" i="1"/>
  <c r="R75" i="1"/>
  <c r="R74" i="1"/>
  <c r="Q79" i="1"/>
  <c r="Q78" i="1"/>
  <c r="Q77" i="1"/>
  <c r="Q76" i="1"/>
  <c r="Q75" i="1"/>
  <c r="Q74" i="1"/>
  <c r="P79" i="1"/>
  <c r="P78" i="1"/>
  <c r="P77" i="1"/>
  <c r="P76" i="1"/>
  <c r="P75" i="1"/>
  <c r="P74" i="1"/>
  <c r="O79" i="1"/>
  <c r="O78" i="1"/>
  <c r="O77" i="1"/>
  <c r="O76" i="1"/>
  <c r="O75" i="1"/>
  <c r="O74" i="1"/>
  <c r="K79" i="1"/>
  <c r="K78" i="1"/>
  <c r="K77" i="1"/>
  <c r="K76" i="1"/>
  <c r="K75" i="1"/>
  <c r="K74" i="1"/>
  <c r="J79" i="1"/>
  <c r="J78" i="1"/>
  <c r="J77" i="1"/>
  <c r="J76" i="1"/>
  <c r="J75" i="1"/>
  <c r="J74" i="1"/>
  <c r="I79" i="1"/>
  <c r="I78" i="1"/>
  <c r="I77" i="1"/>
  <c r="I76" i="1"/>
  <c r="I75" i="1"/>
  <c r="I74" i="1"/>
  <c r="H79" i="1"/>
  <c r="H78" i="1"/>
  <c r="H77" i="1"/>
  <c r="H76" i="1"/>
  <c r="H75" i="1"/>
  <c r="H74" i="1"/>
  <c r="G79" i="1"/>
  <c r="G78" i="1"/>
  <c r="G77" i="1"/>
  <c r="G76" i="1"/>
  <c r="G75" i="1"/>
  <c r="G74" i="1"/>
  <c r="V71" i="1"/>
  <c r="V70" i="1"/>
  <c r="V69" i="1"/>
  <c r="V68" i="1"/>
  <c r="U71" i="1"/>
  <c r="U70" i="1"/>
  <c r="U69" i="1"/>
  <c r="U68" i="1"/>
  <c r="T71" i="1"/>
  <c r="T70" i="1"/>
  <c r="T69" i="1"/>
  <c r="T68" i="1"/>
  <c r="S71" i="1"/>
  <c r="S70" i="1"/>
  <c r="S69" i="1"/>
  <c r="S68" i="1"/>
  <c r="R71" i="1"/>
  <c r="R70" i="1"/>
  <c r="R69" i="1"/>
  <c r="R68" i="1"/>
  <c r="Q71" i="1"/>
  <c r="Q70" i="1"/>
  <c r="Q69" i="1"/>
  <c r="Q68" i="1"/>
  <c r="P71" i="1"/>
  <c r="P70" i="1"/>
  <c r="P69" i="1"/>
  <c r="P68" i="1"/>
  <c r="O71" i="1"/>
  <c r="O70" i="1"/>
  <c r="O69" i="1"/>
  <c r="O68" i="1"/>
  <c r="N71" i="1"/>
  <c r="N70" i="1"/>
  <c r="N69" i="1"/>
  <c r="N68" i="1"/>
  <c r="M71" i="1"/>
  <c r="M70" i="1"/>
  <c r="M69" i="1"/>
  <c r="M68" i="1"/>
  <c r="L71" i="1"/>
  <c r="L70" i="1"/>
  <c r="L69" i="1"/>
  <c r="L68" i="1"/>
  <c r="K71" i="1"/>
  <c r="K70" i="1"/>
  <c r="K69" i="1"/>
  <c r="K68" i="1"/>
  <c r="J71" i="1"/>
  <c r="J70" i="1"/>
  <c r="J69" i="1"/>
  <c r="J68" i="1"/>
  <c r="I71" i="1"/>
  <c r="I70" i="1"/>
  <c r="I69" i="1"/>
  <c r="I68" i="1"/>
  <c r="H71" i="1"/>
  <c r="H70" i="1"/>
  <c r="H69" i="1"/>
  <c r="H68" i="1"/>
  <c r="G71" i="1"/>
  <c r="G70" i="1"/>
  <c r="G69" i="1"/>
  <c r="G68" i="1"/>
  <c r="V64" i="1"/>
  <c r="V63" i="1"/>
  <c r="V62" i="1"/>
  <c r="V61" i="1"/>
  <c r="V60" i="1"/>
  <c r="V59" i="1"/>
  <c r="U64" i="1"/>
  <c r="U63" i="1"/>
  <c r="U62" i="1"/>
  <c r="U61" i="1"/>
  <c r="U60" i="1"/>
  <c r="U59" i="1"/>
  <c r="T64" i="1"/>
  <c r="T63" i="1"/>
  <c r="T62" i="1"/>
  <c r="T61" i="1"/>
  <c r="T60" i="1"/>
  <c r="T59" i="1"/>
  <c r="S64" i="1"/>
  <c r="S63" i="1"/>
  <c r="S62" i="1"/>
  <c r="S61" i="1"/>
  <c r="S60" i="1"/>
  <c r="S59" i="1"/>
  <c r="R64" i="1"/>
  <c r="R63" i="1"/>
  <c r="R62" i="1"/>
  <c r="R61" i="1"/>
  <c r="R60" i="1"/>
  <c r="R59" i="1"/>
  <c r="Q64" i="1"/>
  <c r="Q63" i="1"/>
  <c r="Q62" i="1"/>
  <c r="Q61" i="1"/>
  <c r="Q60" i="1"/>
  <c r="Q59" i="1"/>
  <c r="P64" i="1"/>
  <c r="P63" i="1"/>
  <c r="P62" i="1"/>
  <c r="P61" i="1"/>
  <c r="P60" i="1"/>
  <c r="P59" i="1"/>
  <c r="O64" i="1"/>
  <c r="O63" i="1"/>
  <c r="O62" i="1"/>
  <c r="O61" i="1"/>
  <c r="O60" i="1"/>
  <c r="O59" i="1"/>
  <c r="N64" i="1"/>
  <c r="N63" i="1"/>
  <c r="N62" i="1"/>
  <c r="N61" i="1"/>
  <c r="N60" i="1"/>
  <c r="N59" i="1"/>
  <c r="M64" i="1"/>
  <c r="M63" i="1"/>
  <c r="M62" i="1"/>
  <c r="M61" i="1"/>
  <c r="M60" i="1"/>
  <c r="M59" i="1"/>
  <c r="L64" i="1"/>
  <c r="L63" i="1"/>
  <c r="L62" i="1"/>
  <c r="L61" i="1"/>
  <c r="L60" i="1"/>
  <c r="L59" i="1"/>
  <c r="K64" i="1"/>
  <c r="K63" i="1"/>
  <c r="K62" i="1"/>
  <c r="K61" i="1"/>
  <c r="K60" i="1"/>
  <c r="K59" i="1"/>
  <c r="J64" i="1"/>
  <c r="J63" i="1"/>
  <c r="J62" i="1"/>
  <c r="J61" i="1"/>
  <c r="J60" i="1"/>
  <c r="J59" i="1"/>
  <c r="I64" i="1"/>
  <c r="I63" i="1"/>
  <c r="I62" i="1"/>
  <c r="I61" i="1"/>
  <c r="I60" i="1"/>
  <c r="I59" i="1"/>
  <c r="H64" i="1"/>
  <c r="H63" i="1"/>
  <c r="H62" i="1"/>
  <c r="H61" i="1"/>
  <c r="H60" i="1"/>
  <c r="H59" i="1"/>
  <c r="G64" i="1"/>
  <c r="G63" i="1"/>
  <c r="G62" i="1"/>
  <c r="G61" i="1"/>
  <c r="G60" i="1"/>
  <c r="G59" i="1"/>
  <c r="V58" i="1"/>
  <c r="V57" i="1"/>
  <c r="U58" i="1"/>
  <c r="U57" i="1"/>
  <c r="T58" i="1"/>
  <c r="T57" i="1"/>
  <c r="S58" i="1"/>
  <c r="S57" i="1"/>
  <c r="R58" i="1"/>
  <c r="R57" i="1"/>
  <c r="Q58" i="1"/>
  <c r="Q57" i="1"/>
  <c r="P58" i="1"/>
  <c r="P57" i="1"/>
  <c r="O58" i="1"/>
  <c r="O57" i="1"/>
  <c r="N58" i="1"/>
  <c r="N57" i="1"/>
  <c r="M58" i="1"/>
  <c r="M57" i="1"/>
  <c r="L58" i="1"/>
  <c r="L57" i="1"/>
  <c r="K58" i="1"/>
  <c r="K57" i="1"/>
  <c r="J58" i="1"/>
  <c r="J57" i="1"/>
  <c r="I58" i="1"/>
  <c r="I57" i="1"/>
  <c r="H58" i="1"/>
  <c r="H57" i="1"/>
  <c r="G58" i="1"/>
  <c r="G57" i="1"/>
  <c r="V52" i="1"/>
  <c r="V51" i="1"/>
  <c r="V50" i="1"/>
  <c r="V49" i="1"/>
  <c r="V47" i="1"/>
  <c r="V46" i="1"/>
  <c r="V45" i="1"/>
  <c r="U52" i="1"/>
  <c r="U51" i="1"/>
  <c r="U50" i="1"/>
  <c r="U49" i="1"/>
  <c r="U48" i="1"/>
  <c r="U47" i="1"/>
  <c r="U46" i="1"/>
  <c r="U45" i="1"/>
  <c r="T52" i="1"/>
  <c r="T51" i="1"/>
  <c r="T50" i="1"/>
  <c r="T49" i="1"/>
  <c r="T48" i="1"/>
  <c r="T47" i="1"/>
  <c r="T46" i="1"/>
  <c r="T45" i="1"/>
  <c r="S52" i="1"/>
  <c r="S51" i="1"/>
  <c r="S50" i="1"/>
  <c r="S49" i="1"/>
  <c r="S48" i="1"/>
  <c r="S47" i="1"/>
  <c r="S46" i="1"/>
  <c r="S45" i="1"/>
  <c r="R52" i="1"/>
  <c r="R51" i="1"/>
  <c r="R50" i="1"/>
  <c r="R49" i="1"/>
  <c r="R48" i="1"/>
  <c r="R47" i="1"/>
  <c r="R46" i="1"/>
  <c r="R45" i="1"/>
  <c r="Q52" i="1"/>
  <c r="Q51" i="1"/>
  <c r="Q50" i="1"/>
  <c r="Q49" i="1"/>
  <c r="Q48" i="1"/>
  <c r="Q47" i="1"/>
  <c r="Q46" i="1"/>
  <c r="Q45" i="1"/>
  <c r="P52" i="1"/>
  <c r="P51" i="1"/>
  <c r="P50" i="1"/>
  <c r="P49" i="1"/>
  <c r="P48" i="1"/>
  <c r="P47" i="1"/>
  <c r="P46" i="1"/>
  <c r="P45" i="1"/>
  <c r="O52" i="1"/>
  <c r="O51" i="1"/>
  <c r="O50" i="1"/>
  <c r="O49" i="1"/>
  <c r="O48" i="1"/>
  <c r="O47" i="1"/>
  <c r="O46" i="1"/>
  <c r="O45" i="1"/>
  <c r="N52" i="1"/>
  <c r="N51" i="1"/>
  <c r="N50" i="1"/>
  <c r="N49" i="1"/>
  <c r="N48" i="1"/>
  <c r="N47" i="1"/>
  <c r="N46" i="1"/>
  <c r="N45" i="1"/>
  <c r="M52" i="1"/>
  <c r="M51" i="1"/>
  <c r="M50" i="1"/>
  <c r="M49" i="1"/>
  <c r="M48" i="1"/>
  <c r="M47" i="1"/>
  <c r="M46" i="1"/>
  <c r="M45" i="1"/>
  <c r="L52" i="1"/>
  <c r="L51" i="1"/>
  <c r="L50" i="1"/>
  <c r="L49" i="1"/>
  <c r="L48" i="1"/>
  <c r="L47" i="1"/>
  <c r="L46" i="1"/>
  <c r="L45" i="1"/>
  <c r="K52" i="1"/>
  <c r="K51" i="1"/>
  <c r="K50" i="1"/>
  <c r="K49" i="1"/>
  <c r="K48" i="1"/>
  <c r="K47" i="1"/>
  <c r="K46" i="1"/>
  <c r="K45" i="1"/>
  <c r="J52" i="1"/>
  <c r="J51" i="1"/>
  <c r="J50" i="1"/>
  <c r="J49" i="1"/>
  <c r="J48" i="1"/>
  <c r="J47" i="1"/>
  <c r="J46" i="1"/>
  <c r="J45" i="1"/>
  <c r="I52" i="1"/>
  <c r="I51" i="1"/>
  <c r="I50" i="1"/>
  <c r="I49" i="1"/>
  <c r="I48" i="1"/>
  <c r="I47" i="1"/>
  <c r="I46" i="1"/>
  <c r="I45" i="1"/>
  <c r="H52" i="1"/>
  <c r="H51" i="1"/>
  <c r="H50" i="1"/>
  <c r="H49" i="1"/>
  <c r="H48" i="1"/>
  <c r="H47" i="1"/>
  <c r="H46" i="1"/>
  <c r="H45" i="1"/>
  <c r="G52" i="1"/>
  <c r="G51" i="1"/>
  <c r="G50" i="1"/>
  <c r="G49" i="1"/>
  <c r="G48" i="1"/>
  <c r="G47" i="1"/>
  <c r="G46" i="1"/>
  <c r="G45" i="1"/>
  <c r="T262" i="1"/>
  <c r="T261" i="1"/>
  <c r="T260" i="1"/>
  <c r="T259" i="1"/>
  <c r="S262" i="1"/>
  <c r="S261" i="1"/>
  <c r="S260" i="1"/>
  <c r="S259" i="1"/>
  <c r="P262" i="1"/>
  <c r="P261" i="1"/>
  <c r="P260" i="1"/>
  <c r="P259" i="1"/>
  <c r="O262" i="1"/>
  <c r="O261" i="1"/>
  <c r="O260" i="1"/>
  <c r="O259" i="1"/>
  <c r="M262" i="1"/>
  <c r="M261" i="1"/>
  <c r="M260" i="1"/>
  <c r="M259" i="1"/>
  <c r="V262" i="1"/>
  <c r="V261" i="1"/>
  <c r="V260" i="1"/>
  <c r="V259" i="1"/>
  <c r="U262" i="1"/>
  <c r="U261" i="1"/>
  <c r="U260" i="1"/>
  <c r="U259" i="1"/>
  <c r="R262" i="1"/>
  <c r="R261" i="1"/>
  <c r="R260" i="1"/>
  <c r="R259" i="1"/>
  <c r="Q262" i="1"/>
  <c r="Q261" i="1"/>
  <c r="Q260" i="1"/>
  <c r="Q259" i="1"/>
  <c r="N262" i="1"/>
  <c r="N261" i="1"/>
  <c r="N260" i="1"/>
  <c r="N259" i="1"/>
  <c r="L262" i="1"/>
  <c r="L261" i="1"/>
  <c r="L260" i="1"/>
  <c r="L259" i="1"/>
  <c r="K262" i="1"/>
  <c r="K261" i="1"/>
  <c r="K260" i="1"/>
  <c r="K259" i="1"/>
  <c r="J262" i="1"/>
  <c r="J261" i="1"/>
  <c r="J260" i="1"/>
  <c r="J259" i="1"/>
  <c r="I262" i="1"/>
  <c r="I261" i="1"/>
  <c r="I260" i="1"/>
  <c r="I259" i="1"/>
  <c r="H262" i="1"/>
  <c r="H261" i="1"/>
  <c r="H260" i="1"/>
  <c r="H259" i="1"/>
  <c r="G262" i="1"/>
  <c r="G261" i="1"/>
  <c r="G260" i="1"/>
  <c r="G259" i="1"/>
  <c r="S256" i="1"/>
  <c r="S255" i="1"/>
  <c r="S254" i="1"/>
  <c r="S253" i="1"/>
  <c r="T256" i="1"/>
  <c r="T255" i="1"/>
  <c r="P256" i="1"/>
  <c r="P255" i="1"/>
  <c r="P254" i="1"/>
  <c r="P253" i="1"/>
  <c r="O256" i="1"/>
  <c r="O255" i="1"/>
  <c r="O254" i="1"/>
  <c r="O253" i="1"/>
  <c r="M256" i="1"/>
  <c r="M255" i="1"/>
  <c r="M254" i="1"/>
  <c r="M253" i="1"/>
  <c r="V256" i="1"/>
  <c r="V255" i="1"/>
  <c r="V254" i="1"/>
  <c r="U256" i="1"/>
  <c r="U255" i="1"/>
  <c r="R256" i="1"/>
  <c r="R255" i="1"/>
  <c r="R254" i="1"/>
  <c r="R253" i="1"/>
  <c r="Q256" i="1"/>
  <c r="Q255" i="1"/>
  <c r="Q254" i="1"/>
  <c r="Q253" i="1"/>
  <c r="N256" i="1"/>
  <c r="N255" i="1"/>
  <c r="N254" i="1"/>
  <c r="N253" i="1"/>
  <c r="L256" i="1"/>
  <c r="L255" i="1"/>
  <c r="L254" i="1"/>
  <c r="K256" i="1"/>
  <c r="K255" i="1"/>
  <c r="K254" i="1"/>
  <c r="K253" i="1"/>
  <c r="J255" i="1"/>
  <c r="I256" i="1"/>
  <c r="I255" i="1"/>
  <c r="I254" i="1"/>
  <c r="I253" i="1"/>
  <c r="H256" i="1"/>
  <c r="H255" i="1"/>
  <c r="H254" i="1"/>
  <c r="H253" i="1"/>
  <c r="G255" i="1"/>
  <c r="G253" i="1"/>
  <c r="T249" i="1"/>
  <c r="T248" i="1"/>
  <c r="T247" i="1"/>
  <c r="T246" i="1"/>
  <c r="T245" i="1"/>
  <c r="T244" i="1"/>
  <c r="S249" i="1"/>
  <c r="S248" i="1"/>
  <c r="S247" i="1"/>
  <c r="S246" i="1"/>
  <c r="S245" i="1"/>
  <c r="S244" i="1"/>
  <c r="P249" i="1"/>
  <c r="P248" i="1"/>
  <c r="P247" i="1"/>
  <c r="P246" i="1"/>
  <c r="P245" i="1"/>
  <c r="P244" i="1"/>
  <c r="O249" i="1"/>
  <c r="O248" i="1"/>
  <c r="O247" i="1"/>
  <c r="O246" i="1"/>
  <c r="O245" i="1"/>
  <c r="O244" i="1"/>
  <c r="V249" i="1"/>
  <c r="V248" i="1"/>
  <c r="V247" i="1"/>
  <c r="V246" i="1"/>
  <c r="V245" i="1"/>
  <c r="V244" i="1"/>
  <c r="U249" i="1"/>
  <c r="U248" i="1"/>
  <c r="U247" i="1"/>
  <c r="U246" i="1"/>
  <c r="U245" i="1"/>
  <c r="U244" i="1"/>
  <c r="R249" i="1"/>
  <c r="R248" i="1"/>
  <c r="R247" i="1"/>
  <c r="R246" i="1"/>
  <c r="R245" i="1"/>
  <c r="R244" i="1"/>
  <c r="Q249" i="1"/>
  <c r="Q248" i="1"/>
  <c r="Q247" i="1"/>
  <c r="Q246" i="1"/>
  <c r="Q245" i="1"/>
  <c r="Q244" i="1"/>
  <c r="L249" i="1"/>
  <c r="L248" i="1"/>
  <c r="L247" i="1"/>
  <c r="L246" i="1"/>
  <c r="L245" i="1"/>
  <c r="L244" i="1"/>
  <c r="N249" i="1"/>
  <c r="N248" i="1"/>
  <c r="N247" i="1"/>
  <c r="N246" i="1"/>
  <c r="N245" i="1"/>
  <c r="N244" i="1"/>
  <c r="M249" i="1"/>
  <c r="M248" i="1"/>
  <c r="M247" i="1"/>
  <c r="M246" i="1"/>
  <c r="M245" i="1"/>
  <c r="M244" i="1"/>
  <c r="K249" i="1"/>
  <c r="K248" i="1"/>
  <c r="K247" i="1"/>
  <c r="K246" i="1"/>
  <c r="K245" i="1"/>
  <c r="K244" i="1"/>
  <c r="J249" i="1"/>
  <c r="J248" i="1"/>
  <c r="J247" i="1"/>
  <c r="J246" i="1"/>
  <c r="J245" i="1"/>
  <c r="J244" i="1"/>
  <c r="I249" i="1"/>
  <c r="I248" i="1"/>
  <c r="I247" i="1"/>
  <c r="I246" i="1"/>
  <c r="I244" i="1"/>
  <c r="H249" i="1"/>
  <c r="H248" i="1"/>
  <c r="H247" i="1"/>
  <c r="H246" i="1"/>
  <c r="H245" i="1"/>
  <c r="G249" i="1"/>
  <c r="G248" i="1"/>
  <c r="G247" i="1"/>
  <c r="G246" i="1"/>
  <c r="G245" i="1"/>
  <c r="G244" i="1"/>
  <c r="V179" i="1"/>
  <c r="V178" i="1"/>
  <c r="V177" i="1"/>
  <c r="V176" i="1"/>
  <c r="V175" i="1"/>
  <c r="V174" i="1"/>
  <c r="U179" i="1"/>
  <c r="U178" i="1"/>
  <c r="U177" i="1"/>
  <c r="U176" i="1"/>
  <c r="U175" i="1"/>
  <c r="U174" i="1"/>
  <c r="S179" i="1"/>
  <c r="S178" i="1"/>
  <c r="S177" i="1"/>
  <c r="S176" i="1"/>
  <c r="S175" i="1"/>
  <c r="S174" i="1"/>
  <c r="R179" i="1"/>
  <c r="R178" i="1"/>
  <c r="R177" i="1"/>
  <c r="R176" i="1"/>
  <c r="R175" i="1"/>
  <c r="R174" i="1"/>
  <c r="Q179" i="1"/>
  <c r="Q178" i="1"/>
  <c r="Q177" i="1"/>
  <c r="Q176" i="1"/>
  <c r="Q175" i="1"/>
  <c r="Q174" i="1"/>
  <c r="O178" i="1"/>
  <c r="O179" i="1"/>
  <c r="O177" i="1"/>
  <c r="O176" i="1"/>
  <c r="O175" i="1"/>
  <c r="O174" i="1"/>
  <c r="L179" i="1"/>
  <c r="L178" i="1"/>
  <c r="L177" i="1"/>
  <c r="L176" i="1"/>
  <c r="L175" i="1"/>
  <c r="L174" i="1"/>
  <c r="I179" i="1"/>
  <c r="I178" i="1"/>
  <c r="I177" i="1"/>
  <c r="I176" i="1"/>
  <c r="I175" i="1"/>
  <c r="I174" i="1"/>
  <c r="H179" i="1"/>
  <c r="H178" i="1"/>
  <c r="H177" i="1"/>
  <c r="H176" i="1"/>
  <c r="H175" i="1"/>
  <c r="H174" i="1"/>
  <c r="V170" i="1"/>
  <c r="V169" i="1"/>
  <c r="V168" i="1"/>
  <c r="V167" i="1"/>
  <c r="V166" i="1"/>
  <c r="V165" i="1"/>
  <c r="U170" i="1"/>
  <c r="U169" i="1"/>
  <c r="U168" i="1"/>
  <c r="U167" i="1"/>
  <c r="U166" i="1"/>
  <c r="U165" i="1"/>
  <c r="R170" i="1"/>
  <c r="R169" i="1"/>
  <c r="R168" i="1"/>
  <c r="R167" i="1"/>
  <c r="R166" i="1"/>
  <c r="R165" i="1"/>
  <c r="Q170" i="1"/>
  <c r="Q169" i="1"/>
  <c r="Q168" i="1"/>
  <c r="Q167" i="1"/>
  <c r="Q166" i="1"/>
  <c r="Q165" i="1"/>
  <c r="S170" i="1"/>
  <c r="S169" i="1"/>
  <c r="S168" i="1"/>
  <c r="S167" i="1"/>
  <c r="S166" i="1"/>
  <c r="S165" i="1"/>
  <c r="O170" i="1"/>
  <c r="O169" i="1"/>
  <c r="O168" i="1"/>
  <c r="O167" i="1"/>
  <c r="O166" i="1"/>
  <c r="O165" i="1"/>
  <c r="L170" i="1"/>
  <c r="L169" i="1"/>
  <c r="L168" i="1"/>
  <c r="L167" i="1"/>
  <c r="L166" i="1"/>
  <c r="L165" i="1"/>
  <c r="N170" i="1"/>
  <c r="N169" i="1"/>
  <c r="N168" i="1"/>
  <c r="N167" i="1"/>
  <c r="N166" i="1"/>
  <c r="N165" i="1"/>
  <c r="I170" i="1"/>
  <c r="I169" i="1"/>
  <c r="I168" i="1"/>
  <c r="I167" i="1"/>
  <c r="I166" i="1"/>
  <c r="I165" i="1"/>
  <c r="H170" i="1"/>
  <c r="H169" i="1"/>
  <c r="H168" i="1"/>
  <c r="H167" i="1"/>
  <c r="H166" i="1"/>
  <c r="H165" i="1"/>
  <c r="V162" i="1"/>
  <c r="V161" i="1"/>
  <c r="V160" i="1"/>
  <c r="V159" i="1"/>
  <c r="U162" i="1"/>
  <c r="U161" i="1"/>
  <c r="U160" i="1"/>
  <c r="U159" i="1"/>
  <c r="R162" i="1"/>
  <c r="R161" i="1"/>
  <c r="R160" i="1"/>
  <c r="R159" i="1"/>
  <c r="Q162" i="1"/>
  <c r="Q161" i="1"/>
  <c r="Q160" i="1"/>
  <c r="Q159" i="1"/>
  <c r="T162" i="1"/>
  <c r="T161" i="1"/>
  <c r="T160" i="1"/>
  <c r="T159" i="1"/>
  <c r="S162" i="1"/>
  <c r="S161" i="1"/>
  <c r="S160" i="1"/>
  <c r="S159" i="1"/>
  <c r="O162" i="1"/>
  <c r="O161" i="1"/>
  <c r="O160" i="1"/>
  <c r="O159" i="1"/>
  <c r="N162" i="1"/>
  <c r="N161" i="1"/>
  <c r="N160" i="1"/>
  <c r="N159" i="1"/>
  <c r="I162" i="1"/>
  <c r="I161" i="1"/>
  <c r="I160" i="1"/>
  <c r="I159" i="1"/>
  <c r="H162" i="1"/>
  <c r="H161" i="1"/>
  <c r="H160" i="1"/>
  <c r="H159" i="1"/>
  <c r="V137" i="1" l="1"/>
  <c r="V136" i="1"/>
  <c r="V135" i="1"/>
  <c r="V134" i="1"/>
  <c r="V133" i="1"/>
  <c r="V132" i="1"/>
  <c r="U137" i="1"/>
  <c r="U136" i="1"/>
  <c r="U135" i="1"/>
  <c r="U134" i="1"/>
  <c r="U133" i="1"/>
  <c r="U132" i="1"/>
  <c r="T137" i="1"/>
  <c r="T136" i="1"/>
  <c r="T135" i="1"/>
  <c r="T134" i="1"/>
  <c r="T133" i="1"/>
  <c r="T132" i="1"/>
  <c r="S137" i="1"/>
  <c r="S136" i="1"/>
  <c r="S135" i="1"/>
  <c r="S134" i="1"/>
  <c r="S133" i="1"/>
  <c r="S132" i="1"/>
  <c r="R137" i="1"/>
  <c r="R136" i="1"/>
  <c r="R135" i="1"/>
  <c r="R134" i="1"/>
  <c r="R133" i="1"/>
  <c r="R132" i="1"/>
  <c r="Q137" i="1"/>
  <c r="Q136" i="1"/>
  <c r="Q135" i="1"/>
  <c r="Q134" i="1"/>
  <c r="Q133" i="1"/>
  <c r="Q132" i="1"/>
  <c r="P137" i="1"/>
  <c r="P136" i="1"/>
  <c r="P135" i="1"/>
  <c r="P134" i="1"/>
  <c r="P133" i="1"/>
  <c r="P132" i="1"/>
  <c r="O137" i="1"/>
  <c r="O136" i="1"/>
  <c r="O135" i="1"/>
  <c r="O134" i="1"/>
  <c r="O133" i="1"/>
  <c r="O132" i="1"/>
  <c r="N137" i="1"/>
  <c r="N136" i="1"/>
  <c r="N135" i="1"/>
  <c r="N134" i="1"/>
  <c r="N133" i="1"/>
  <c r="N132" i="1"/>
  <c r="M137" i="1"/>
  <c r="M136" i="1"/>
  <c r="M135" i="1"/>
  <c r="M134" i="1"/>
  <c r="M133" i="1"/>
  <c r="M132" i="1"/>
  <c r="L137" i="1"/>
  <c r="L136" i="1"/>
  <c r="L135" i="1"/>
  <c r="L134" i="1"/>
  <c r="L133" i="1"/>
  <c r="L132" i="1"/>
  <c r="K137" i="1"/>
  <c r="K136" i="1"/>
  <c r="K135" i="1"/>
  <c r="K134" i="1"/>
  <c r="K133" i="1"/>
  <c r="K132" i="1"/>
  <c r="J137" i="1"/>
  <c r="J136" i="1"/>
  <c r="J135" i="1"/>
  <c r="J134" i="1"/>
  <c r="J133" i="1"/>
  <c r="J132" i="1"/>
  <c r="I137" i="1"/>
  <c r="I136" i="1"/>
  <c r="I135" i="1"/>
  <c r="I134" i="1"/>
  <c r="I133" i="1"/>
  <c r="I132" i="1"/>
  <c r="H137" i="1"/>
  <c r="H136" i="1"/>
  <c r="H135" i="1"/>
  <c r="H134" i="1"/>
  <c r="H133" i="1"/>
  <c r="H132" i="1"/>
  <c r="G137" i="1"/>
  <c r="G136" i="1"/>
  <c r="G135" i="1"/>
  <c r="G134" i="1"/>
  <c r="G133" i="1"/>
  <c r="G132" i="1"/>
  <c r="V155" i="1"/>
  <c r="V154" i="1"/>
  <c r="V153" i="1"/>
  <c r="V152" i="1"/>
  <c r="V151" i="1"/>
  <c r="V150" i="1"/>
  <c r="U155" i="1"/>
  <c r="U154" i="1"/>
  <c r="U153" i="1"/>
  <c r="U152" i="1"/>
  <c r="U151" i="1"/>
  <c r="U150" i="1"/>
  <c r="R155" i="1"/>
  <c r="R154" i="1"/>
  <c r="R153" i="1"/>
  <c r="R152" i="1"/>
  <c r="R151" i="1"/>
  <c r="R150" i="1"/>
  <c r="N155" i="1"/>
  <c r="N154" i="1"/>
  <c r="N153" i="1"/>
  <c r="N152" i="1"/>
  <c r="N151" i="1"/>
  <c r="N150" i="1"/>
  <c r="M155" i="1"/>
  <c r="M154" i="1"/>
  <c r="M153" i="1"/>
  <c r="M152" i="1"/>
  <c r="M151" i="1"/>
  <c r="M150" i="1"/>
  <c r="J155" i="1"/>
  <c r="J154" i="1"/>
  <c r="J153" i="1"/>
  <c r="J152" i="1"/>
  <c r="J151" i="1"/>
  <c r="J150" i="1"/>
  <c r="G155" i="1"/>
  <c r="G154" i="1"/>
  <c r="G153" i="1"/>
  <c r="G152" i="1"/>
  <c r="G151" i="1"/>
  <c r="G150" i="1"/>
  <c r="T155" i="1"/>
  <c r="T154" i="1"/>
  <c r="T153" i="1"/>
  <c r="T152" i="1"/>
  <c r="T151" i="1"/>
  <c r="T150" i="1"/>
  <c r="S155" i="1"/>
  <c r="S154" i="1"/>
  <c r="S153" i="1"/>
  <c r="S152" i="1"/>
  <c r="S151" i="1"/>
  <c r="S150" i="1"/>
  <c r="Q155" i="1"/>
  <c r="Q154" i="1"/>
  <c r="Q153" i="1"/>
  <c r="Q152" i="1"/>
  <c r="Q151" i="1"/>
  <c r="Q150" i="1"/>
  <c r="P155" i="1"/>
  <c r="P154" i="1"/>
  <c r="P153" i="1"/>
  <c r="P152" i="1"/>
  <c r="P151" i="1"/>
  <c r="P150" i="1"/>
  <c r="O155" i="1"/>
  <c r="O154" i="1"/>
  <c r="O153" i="1"/>
  <c r="O152" i="1"/>
  <c r="O151" i="1"/>
  <c r="O150" i="1"/>
  <c r="L155" i="1"/>
  <c r="L154" i="1"/>
  <c r="L153" i="1"/>
  <c r="L152" i="1"/>
  <c r="L151" i="1"/>
  <c r="L150" i="1"/>
  <c r="K155" i="1"/>
  <c r="K154" i="1"/>
  <c r="K153" i="1"/>
  <c r="K152" i="1"/>
  <c r="K151" i="1"/>
  <c r="K150" i="1"/>
  <c r="I155" i="1"/>
  <c r="I154" i="1"/>
  <c r="I153" i="1"/>
  <c r="I152" i="1"/>
  <c r="I151" i="1"/>
  <c r="I150" i="1"/>
  <c r="H155" i="1"/>
  <c r="H154" i="1"/>
  <c r="H153" i="1"/>
  <c r="H152" i="1"/>
  <c r="H151" i="1"/>
  <c r="H150" i="1"/>
  <c r="V146" i="1" l="1"/>
  <c r="V145" i="1"/>
  <c r="V144" i="1"/>
  <c r="V143" i="1"/>
  <c r="V142" i="1"/>
  <c r="V141" i="1"/>
  <c r="U146" i="1"/>
  <c r="U145" i="1"/>
  <c r="U144" i="1"/>
  <c r="U143" i="1"/>
  <c r="U142" i="1"/>
  <c r="U141" i="1"/>
  <c r="R146" i="1"/>
  <c r="R145" i="1"/>
  <c r="R144" i="1"/>
  <c r="R143" i="1"/>
  <c r="R142" i="1"/>
  <c r="R141" i="1"/>
  <c r="M146" i="1"/>
  <c r="M145" i="1"/>
  <c r="M144" i="1"/>
  <c r="M143" i="1"/>
  <c r="M142" i="1"/>
  <c r="M141" i="1"/>
  <c r="G146" i="1"/>
  <c r="G145" i="1"/>
  <c r="G144" i="1"/>
  <c r="G143" i="1"/>
  <c r="G142" i="1"/>
  <c r="G141" i="1"/>
  <c r="T146" i="1"/>
  <c r="T145" i="1"/>
  <c r="T144" i="1"/>
  <c r="T143" i="1"/>
  <c r="T142" i="1"/>
  <c r="T141" i="1"/>
  <c r="S146" i="1"/>
  <c r="S145" i="1"/>
  <c r="S144" i="1"/>
  <c r="S143" i="1"/>
  <c r="S142" i="1"/>
  <c r="S141" i="1"/>
  <c r="Q146" i="1"/>
  <c r="Q145" i="1"/>
  <c r="Q144" i="1"/>
  <c r="Q143" i="1"/>
  <c r="Q142" i="1"/>
  <c r="Q141" i="1"/>
  <c r="P146" i="1"/>
  <c r="P145" i="1"/>
  <c r="P144" i="1"/>
  <c r="P143" i="1"/>
  <c r="P142" i="1"/>
  <c r="P141" i="1"/>
  <c r="O146" i="1"/>
  <c r="O145" i="1"/>
  <c r="O144" i="1"/>
  <c r="O143" i="1"/>
  <c r="O142" i="1"/>
  <c r="O141" i="1"/>
  <c r="N146" i="1"/>
  <c r="N145" i="1"/>
  <c r="N144" i="1"/>
  <c r="N143" i="1"/>
  <c r="N142" i="1"/>
  <c r="N141" i="1"/>
  <c r="L146" i="1"/>
  <c r="L145" i="1"/>
  <c r="L144" i="1"/>
  <c r="L143" i="1"/>
  <c r="L142" i="1"/>
  <c r="L141" i="1"/>
  <c r="K146" i="1"/>
  <c r="K145" i="1"/>
  <c r="K144" i="1"/>
  <c r="K143" i="1"/>
  <c r="K142" i="1"/>
  <c r="K141" i="1"/>
  <c r="J146" i="1"/>
  <c r="J145" i="1"/>
  <c r="J144" i="1"/>
  <c r="J143" i="1"/>
  <c r="J142" i="1"/>
  <c r="J141" i="1"/>
  <c r="I146" i="1"/>
  <c r="I145" i="1"/>
  <c r="I144" i="1"/>
  <c r="I143" i="1"/>
  <c r="I142" i="1"/>
  <c r="I141" i="1"/>
  <c r="H146" i="1"/>
  <c r="H145" i="1"/>
  <c r="H144" i="1"/>
  <c r="H143" i="1"/>
  <c r="H142" i="1"/>
  <c r="H141" i="1"/>
  <c r="V128" i="1"/>
  <c r="V127" i="1"/>
  <c r="V126" i="1"/>
  <c r="V125" i="1"/>
  <c r="V124" i="1"/>
  <c r="V123" i="1"/>
  <c r="U128" i="1"/>
  <c r="U127" i="1"/>
  <c r="U126" i="1"/>
  <c r="U125" i="1"/>
  <c r="U124" i="1"/>
  <c r="U123" i="1"/>
  <c r="R128" i="1"/>
  <c r="R127" i="1"/>
  <c r="R126" i="1"/>
  <c r="R125" i="1"/>
  <c r="R124" i="1"/>
  <c r="R123" i="1"/>
  <c r="T128" i="1"/>
  <c r="T127" i="1"/>
  <c r="T126" i="1"/>
  <c r="T125" i="1"/>
  <c r="T124" i="1"/>
  <c r="T123" i="1"/>
  <c r="S128" i="1"/>
  <c r="S127" i="1"/>
  <c r="S126" i="1"/>
  <c r="S125" i="1"/>
  <c r="S124" i="1"/>
  <c r="S123" i="1"/>
  <c r="P128" i="1"/>
  <c r="P127" i="1"/>
  <c r="P126" i="1"/>
  <c r="P125" i="1"/>
  <c r="P124" i="1"/>
  <c r="P123" i="1"/>
  <c r="M128" i="1"/>
  <c r="M127" i="1"/>
  <c r="M126" i="1"/>
  <c r="M125" i="1"/>
  <c r="M124" i="1"/>
  <c r="M123" i="1"/>
  <c r="N128" i="1"/>
  <c r="N127" i="1"/>
  <c r="N126" i="1"/>
  <c r="N125" i="1"/>
  <c r="N124" i="1"/>
  <c r="N123" i="1"/>
  <c r="K128" i="1"/>
  <c r="K127" i="1"/>
  <c r="K126" i="1"/>
  <c r="K125" i="1"/>
  <c r="K124" i="1"/>
  <c r="K123" i="1"/>
  <c r="J128" i="1"/>
  <c r="J127" i="1"/>
  <c r="J126" i="1"/>
  <c r="J125" i="1"/>
  <c r="J124" i="1"/>
  <c r="J123" i="1"/>
  <c r="I128" i="1"/>
  <c r="I127" i="1"/>
  <c r="I126" i="1"/>
  <c r="I125" i="1"/>
  <c r="I124" i="1"/>
  <c r="I123" i="1"/>
  <c r="G128" i="1"/>
  <c r="G127" i="1"/>
  <c r="G126" i="1"/>
  <c r="G125" i="1"/>
  <c r="T120" i="1"/>
  <c r="T119" i="1"/>
  <c r="T118" i="1"/>
  <c r="T117" i="1"/>
  <c r="T116" i="1"/>
  <c r="T115" i="1"/>
  <c r="S120" i="1"/>
  <c r="S119" i="1"/>
  <c r="S118" i="1"/>
  <c r="S117" i="1"/>
  <c r="S116" i="1"/>
  <c r="S115" i="1"/>
  <c r="L120" i="1"/>
  <c r="L119" i="1"/>
  <c r="L118" i="1"/>
  <c r="L117" i="1"/>
  <c r="L116" i="1"/>
  <c r="L115" i="1"/>
  <c r="V120" i="1"/>
  <c r="V119" i="1"/>
  <c r="V118" i="1"/>
  <c r="V117" i="1"/>
  <c r="V116" i="1"/>
  <c r="V115" i="1"/>
  <c r="U120" i="1"/>
  <c r="U119" i="1"/>
  <c r="U118" i="1"/>
  <c r="U117" i="1"/>
  <c r="U116" i="1"/>
  <c r="U115" i="1"/>
  <c r="Q120" i="1"/>
  <c r="Q119" i="1"/>
  <c r="R120" i="1"/>
  <c r="R119" i="1"/>
  <c r="R118" i="1"/>
  <c r="R117" i="1"/>
  <c r="R116" i="1"/>
  <c r="R115" i="1"/>
  <c r="Q118" i="1"/>
  <c r="Q117" i="1"/>
  <c r="Q116" i="1"/>
  <c r="Q115" i="1"/>
  <c r="P120" i="1"/>
  <c r="P119" i="1"/>
  <c r="P118" i="1"/>
  <c r="P117" i="1"/>
  <c r="P116" i="1"/>
  <c r="P115" i="1"/>
  <c r="N120" i="1"/>
  <c r="N119" i="1"/>
  <c r="N118" i="1"/>
  <c r="N117" i="1"/>
  <c r="N116" i="1"/>
  <c r="N115" i="1"/>
  <c r="J120" i="1"/>
  <c r="J119" i="1"/>
  <c r="J118" i="1"/>
  <c r="J117" i="1"/>
  <c r="J116" i="1"/>
  <c r="J115" i="1"/>
  <c r="I120" i="1"/>
  <c r="I119" i="1"/>
  <c r="I118" i="1"/>
  <c r="I117" i="1"/>
  <c r="I116" i="1"/>
  <c r="I115" i="1"/>
  <c r="L104" i="1"/>
  <c r="L103" i="1"/>
  <c r="J104" i="1"/>
  <c r="J103" i="1"/>
  <c r="I104" i="1"/>
  <c r="I103" i="1"/>
  <c r="S104" i="1"/>
  <c r="S103" i="1"/>
  <c r="T104" i="1"/>
  <c r="T103" i="1"/>
  <c r="T110" i="1"/>
  <c r="T109" i="1"/>
  <c r="T108" i="1"/>
  <c r="T107" i="1"/>
  <c r="S110" i="1"/>
  <c r="S109" i="1"/>
  <c r="S108" i="1"/>
  <c r="S107" i="1"/>
  <c r="O106" i="1"/>
  <c r="O105" i="1"/>
  <c r="N106" i="1"/>
  <c r="N105" i="1"/>
  <c r="J110" i="1"/>
  <c r="J109" i="1"/>
  <c r="J108" i="1"/>
  <c r="J107" i="1"/>
  <c r="J106" i="1"/>
  <c r="J105" i="1"/>
  <c r="K106" i="1"/>
  <c r="K105" i="1"/>
  <c r="I110" i="1"/>
  <c r="I109" i="1"/>
  <c r="I108" i="1"/>
  <c r="I107" i="1"/>
  <c r="G106" i="1"/>
  <c r="G105" i="1"/>
  <c r="V106" i="1"/>
  <c r="V105" i="1"/>
  <c r="T106" i="1"/>
  <c r="T105" i="1"/>
  <c r="U106" i="1"/>
  <c r="U105" i="1"/>
  <c r="S106" i="1"/>
  <c r="S105" i="1"/>
  <c r="R106" i="1"/>
  <c r="R105" i="1"/>
  <c r="Q106" i="1"/>
  <c r="Q105" i="1"/>
  <c r="P106" i="1"/>
  <c r="P105" i="1"/>
  <c r="M106" i="1"/>
  <c r="M105" i="1"/>
  <c r="L106" i="1"/>
  <c r="L105" i="1"/>
  <c r="I106" i="1"/>
  <c r="I105" i="1"/>
  <c r="H106" i="1"/>
  <c r="H105" i="1"/>
  <c r="V110" i="1" l="1"/>
  <c r="V109" i="1"/>
  <c r="V108" i="1"/>
  <c r="V107" i="1"/>
  <c r="U107" i="1"/>
  <c r="U108" i="1"/>
  <c r="U110" i="1"/>
  <c r="U109" i="1"/>
  <c r="R110" i="1"/>
  <c r="R109" i="1"/>
  <c r="R108" i="1"/>
  <c r="R107" i="1"/>
  <c r="Q110" i="1"/>
  <c r="Q109" i="1"/>
  <c r="Q108" i="1"/>
  <c r="Q107" i="1"/>
  <c r="P110" i="1"/>
  <c r="P109" i="1"/>
  <c r="P108" i="1"/>
  <c r="P107" i="1"/>
  <c r="O110" i="1"/>
  <c r="O109" i="1"/>
  <c r="O108" i="1"/>
  <c r="O107" i="1"/>
  <c r="N110" i="1"/>
  <c r="N109" i="1"/>
  <c r="N108" i="1"/>
  <c r="N107" i="1"/>
  <c r="L110" i="1"/>
  <c r="L109" i="1"/>
  <c r="L108" i="1"/>
  <c r="L107" i="1"/>
  <c r="M110" i="1"/>
  <c r="M109" i="1"/>
  <c r="M108" i="1"/>
  <c r="M107" i="1"/>
  <c r="K110" i="1"/>
  <c r="K109" i="1"/>
  <c r="K108" i="1"/>
  <c r="K107" i="1"/>
  <c r="H110" i="1"/>
  <c r="H109" i="1"/>
  <c r="H108" i="1"/>
  <c r="H107" i="1"/>
  <c r="G109" i="1"/>
  <c r="G108" i="1"/>
  <c r="G107" i="1"/>
  <c r="V104" i="1"/>
  <c r="V103" i="1"/>
  <c r="U104" i="1"/>
  <c r="U103" i="1"/>
  <c r="R104" i="1"/>
  <c r="R103" i="1"/>
  <c r="Q104" i="1"/>
  <c r="Q103" i="1"/>
  <c r="P104" i="1"/>
  <c r="P103" i="1"/>
  <c r="O104" i="1"/>
  <c r="O103" i="1"/>
  <c r="N104" i="1"/>
  <c r="N103" i="1"/>
  <c r="M104" i="1"/>
  <c r="M103" i="1"/>
  <c r="K104" i="1"/>
  <c r="K103" i="1"/>
  <c r="H104" i="1"/>
  <c r="H103" i="1"/>
  <c r="G104" i="1"/>
  <c r="G103" i="1"/>
  <c r="V113" i="1" l="1"/>
  <c r="V114" i="1"/>
  <c r="N114" i="1"/>
  <c r="N113" i="1"/>
  <c r="T114" i="1"/>
  <c r="T113" i="1"/>
  <c r="O114" i="1"/>
  <c r="O113" i="1"/>
  <c r="O120" i="1"/>
  <c r="O119" i="1"/>
  <c r="O118" i="1"/>
  <c r="O117" i="1"/>
  <c r="O116" i="1"/>
  <c r="O115" i="1"/>
  <c r="M120" i="1"/>
  <c r="W120" i="1" s="1"/>
  <c r="M119" i="1"/>
  <c r="M118" i="1"/>
  <c r="M117" i="1"/>
  <c r="M116" i="1"/>
  <c r="M115" i="1"/>
  <c r="J113" i="1"/>
  <c r="J114" i="1"/>
  <c r="I114" i="1"/>
  <c r="K114" i="1"/>
  <c r="K113" i="1"/>
  <c r="K120" i="1"/>
  <c r="K119" i="1"/>
  <c r="K118" i="1"/>
  <c r="K117" i="1"/>
  <c r="K116" i="1"/>
  <c r="K115" i="1"/>
  <c r="G114" i="1"/>
  <c r="G113" i="1"/>
  <c r="H113" i="1"/>
  <c r="H114" i="1"/>
  <c r="H120" i="1"/>
  <c r="H119" i="1"/>
  <c r="H118" i="1"/>
  <c r="H117" i="1"/>
  <c r="W117" i="1" s="1"/>
  <c r="H116" i="1"/>
  <c r="H115" i="1"/>
  <c r="G120" i="1"/>
  <c r="G119" i="1"/>
  <c r="G118" i="1"/>
  <c r="G117" i="1"/>
  <c r="G116" i="1"/>
  <c r="G115" i="1"/>
  <c r="W115" i="1" s="1"/>
  <c r="P179" i="1"/>
  <c r="P178" i="1"/>
  <c r="P177" i="1"/>
  <c r="P176" i="1"/>
  <c r="P175" i="1"/>
  <c r="P174" i="1"/>
  <c r="T179" i="1"/>
  <c r="T178" i="1"/>
  <c r="T181" i="1" s="1"/>
  <c r="T177" i="1"/>
  <c r="T176" i="1"/>
  <c r="T175" i="1"/>
  <c r="T174" i="1"/>
  <c r="N179" i="1"/>
  <c r="N178" i="1"/>
  <c r="N177" i="1"/>
  <c r="N176" i="1"/>
  <c r="N181" i="1" s="1"/>
  <c r="N175" i="1"/>
  <c r="N174" i="1"/>
  <c r="M179" i="1"/>
  <c r="M178" i="1"/>
  <c r="M177" i="1"/>
  <c r="M176" i="1"/>
  <c r="M175" i="1"/>
  <c r="M174" i="1"/>
  <c r="M182" i="1" s="1"/>
  <c r="K179" i="1"/>
  <c r="K178" i="1"/>
  <c r="K177" i="1"/>
  <c r="K176" i="1"/>
  <c r="K175" i="1"/>
  <c r="K174" i="1"/>
  <c r="J179" i="1"/>
  <c r="J178" i="1"/>
  <c r="J181" i="1" s="1"/>
  <c r="J177" i="1"/>
  <c r="J176" i="1"/>
  <c r="J175" i="1"/>
  <c r="J174" i="1"/>
  <c r="G179" i="1"/>
  <c r="G178" i="1"/>
  <c r="G177" i="1"/>
  <c r="G176" i="1"/>
  <c r="G181" i="1" s="1"/>
  <c r="G175" i="1"/>
  <c r="G174" i="1"/>
  <c r="T170" i="1"/>
  <c r="T169" i="1"/>
  <c r="T168" i="1"/>
  <c r="T167" i="1"/>
  <c r="T166" i="1"/>
  <c r="T165" i="1"/>
  <c r="T172" i="1" s="1"/>
  <c r="P170" i="1"/>
  <c r="P169" i="1"/>
  <c r="P168" i="1"/>
  <c r="P167" i="1"/>
  <c r="P166" i="1"/>
  <c r="P165" i="1"/>
  <c r="M170" i="1"/>
  <c r="M169" i="1"/>
  <c r="M173" i="1" s="1"/>
  <c r="M168" i="1"/>
  <c r="M167" i="1"/>
  <c r="M166" i="1"/>
  <c r="M165" i="1"/>
  <c r="K170" i="1"/>
  <c r="K169" i="1"/>
  <c r="K168" i="1"/>
  <c r="K167" i="1"/>
  <c r="K173" i="1" s="1"/>
  <c r="K166" i="1"/>
  <c r="K165" i="1"/>
  <c r="J170" i="1"/>
  <c r="J169" i="1"/>
  <c r="J168" i="1"/>
  <c r="J167" i="1"/>
  <c r="J166" i="1"/>
  <c r="J165" i="1"/>
  <c r="J172" i="1" s="1"/>
  <c r="G170" i="1"/>
  <c r="G169" i="1"/>
  <c r="G168" i="1"/>
  <c r="G167" i="1"/>
  <c r="G166" i="1"/>
  <c r="G165" i="1"/>
  <c r="P162" i="1"/>
  <c r="P161" i="1"/>
  <c r="P160" i="1"/>
  <c r="P159" i="1"/>
  <c r="M162" i="1"/>
  <c r="M161" i="1"/>
  <c r="M160" i="1"/>
  <c r="M159" i="1"/>
  <c r="L162" i="1"/>
  <c r="L161" i="1"/>
  <c r="L164" i="1" s="1"/>
  <c r="L160" i="1"/>
  <c r="L159" i="1"/>
  <c r="K162" i="1"/>
  <c r="K161" i="1"/>
  <c r="K160" i="1"/>
  <c r="K159" i="1"/>
  <c r="J162" i="1"/>
  <c r="J161" i="1"/>
  <c r="J164" i="1" s="1"/>
  <c r="J160" i="1"/>
  <c r="J159" i="1"/>
  <c r="G162" i="1"/>
  <c r="G161" i="1"/>
  <c r="G160" i="1"/>
  <c r="G159" i="1"/>
  <c r="Q128" i="1"/>
  <c r="Q127" i="1"/>
  <c r="Q126" i="1"/>
  <c r="Q125" i="1"/>
  <c r="Q124" i="1"/>
  <c r="Q123" i="1"/>
  <c r="O128" i="1"/>
  <c r="O127" i="1"/>
  <c r="O126" i="1"/>
  <c r="O125" i="1"/>
  <c r="O129" i="1" s="1"/>
  <c r="O124" i="1"/>
  <c r="O123" i="1"/>
  <c r="M130" i="1"/>
  <c r="L128" i="1"/>
  <c r="L127" i="1"/>
  <c r="L126" i="1"/>
  <c r="L125" i="1"/>
  <c r="L124" i="1"/>
  <c r="L123" i="1"/>
  <c r="H128" i="1"/>
  <c r="H127" i="1"/>
  <c r="H126" i="1"/>
  <c r="H125" i="1"/>
  <c r="V240" i="1"/>
  <c r="U240" i="1"/>
  <c r="T240" i="1"/>
  <c r="S240" i="1"/>
  <c r="R240" i="1"/>
  <c r="Q240" i="1"/>
  <c r="P240" i="1"/>
  <c r="O240" i="1"/>
  <c r="N240" i="1"/>
  <c r="M240" i="1"/>
  <c r="L240" i="1"/>
  <c r="L243" i="1" s="1"/>
  <c r="K240" i="1"/>
  <c r="J240" i="1"/>
  <c r="J243" i="1" s="1"/>
  <c r="I240" i="1"/>
  <c r="H240" i="1"/>
  <c r="V239" i="1"/>
  <c r="U239" i="1"/>
  <c r="T239" i="1"/>
  <c r="S239" i="1"/>
  <c r="R239" i="1"/>
  <c r="Q239" i="1"/>
  <c r="P239" i="1"/>
  <c r="O239" i="1"/>
  <c r="N239" i="1"/>
  <c r="M239" i="1"/>
  <c r="L239" i="1"/>
  <c r="K239" i="1"/>
  <c r="W239" i="1" s="1"/>
  <c r="J239" i="1"/>
  <c r="I239" i="1"/>
  <c r="H239" i="1"/>
  <c r="G243" i="1"/>
  <c r="V232" i="1"/>
  <c r="V231" i="1"/>
  <c r="U187" i="1"/>
  <c r="S187" i="1"/>
  <c r="R187" i="1"/>
  <c r="Q187" i="1"/>
  <c r="P187" i="1"/>
  <c r="M187" i="1"/>
  <c r="L187" i="1"/>
  <c r="I187" i="1"/>
  <c r="H187" i="1"/>
  <c r="U188" i="1"/>
  <c r="S188" i="1"/>
  <c r="R188" i="1"/>
  <c r="Q188" i="1"/>
  <c r="P188" i="1"/>
  <c r="M188" i="1"/>
  <c r="L188" i="1"/>
  <c r="I188" i="1"/>
  <c r="H188" i="1"/>
  <c r="G193" i="1"/>
  <c r="U184" i="1"/>
  <c r="U183" i="1"/>
  <c r="S184" i="1"/>
  <c r="S183" i="1"/>
  <c r="R184" i="1"/>
  <c r="R183" i="1"/>
  <c r="Q184" i="1"/>
  <c r="Q183" i="1"/>
  <c r="P184" i="1"/>
  <c r="P183" i="1"/>
  <c r="M184" i="1"/>
  <c r="M183" i="1"/>
  <c r="L184" i="1"/>
  <c r="L183" i="1"/>
  <c r="I184" i="1"/>
  <c r="I183" i="1"/>
  <c r="H184" i="1"/>
  <c r="H183" i="1"/>
  <c r="W183" i="1" s="1"/>
  <c r="S186" i="1"/>
  <c r="S185" i="1"/>
  <c r="R186" i="1"/>
  <c r="R185" i="1"/>
  <c r="Q186" i="1"/>
  <c r="Q185" i="1"/>
  <c r="P186" i="1"/>
  <c r="P185" i="1"/>
  <c r="M186" i="1"/>
  <c r="M185" i="1"/>
  <c r="L186" i="1"/>
  <c r="L185" i="1"/>
  <c r="I186" i="1"/>
  <c r="I185" i="1"/>
  <c r="H186" i="1"/>
  <c r="H185" i="1"/>
  <c r="U114" i="1"/>
  <c r="U113" i="1"/>
  <c r="S113" i="1"/>
  <c r="S114" i="1"/>
  <c r="R114" i="1"/>
  <c r="R113" i="1"/>
  <c r="Q114" i="1"/>
  <c r="Q113" i="1"/>
  <c r="P114" i="1"/>
  <c r="P113" i="1"/>
  <c r="M114" i="1"/>
  <c r="M113" i="1"/>
  <c r="L114" i="1"/>
  <c r="L113" i="1"/>
  <c r="I113" i="1"/>
  <c r="H271" i="1"/>
  <c r="I271" i="1"/>
  <c r="J271" i="1"/>
  <c r="K271" i="1"/>
  <c r="L271" i="1"/>
  <c r="M271" i="1"/>
  <c r="N271" i="1"/>
  <c r="O271" i="1"/>
  <c r="P271" i="1"/>
  <c r="Q271" i="1"/>
  <c r="R271" i="1"/>
  <c r="S271" i="1"/>
  <c r="T271" i="1"/>
  <c r="U271" i="1"/>
  <c r="V271" i="1"/>
  <c r="H272" i="1"/>
  <c r="I272" i="1"/>
  <c r="J272" i="1"/>
  <c r="K272" i="1"/>
  <c r="L272" i="1"/>
  <c r="M272" i="1"/>
  <c r="N272" i="1"/>
  <c r="O272" i="1"/>
  <c r="P272" i="1"/>
  <c r="Q272" i="1"/>
  <c r="R272" i="1"/>
  <c r="S272" i="1"/>
  <c r="T272" i="1"/>
  <c r="U272" i="1"/>
  <c r="V272" i="1"/>
  <c r="H273" i="1"/>
  <c r="I273" i="1"/>
  <c r="J273" i="1"/>
  <c r="K273" i="1"/>
  <c r="L273" i="1"/>
  <c r="M273" i="1"/>
  <c r="N273" i="1"/>
  <c r="O273" i="1"/>
  <c r="P273" i="1"/>
  <c r="Q273" i="1"/>
  <c r="R273" i="1"/>
  <c r="S273" i="1"/>
  <c r="T273" i="1"/>
  <c r="U273" i="1"/>
  <c r="V273" i="1"/>
  <c r="G273" i="1"/>
  <c r="G272" i="1"/>
  <c r="G271" i="1"/>
  <c r="W270" i="1"/>
  <c r="W266" i="1"/>
  <c r="W267" i="1"/>
  <c r="W268" i="1"/>
  <c r="W269" i="1"/>
  <c r="H263" i="1"/>
  <c r="I263" i="1"/>
  <c r="J263" i="1"/>
  <c r="K263" i="1"/>
  <c r="L263" i="1"/>
  <c r="M263" i="1"/>
  <c r="N263" i="1"/>
  <c r="O263" i="1"/>
  <c r="P263" i="1"/>
  <c r="Q263" i="1"/>
  <c r="R263" i="1"/>
  <c r="S263" i="1"/>
  <c r="T263" i="1"/>
  <c r="U263" i="1"/>
  <c r="V263" i="1"/>
  <c r="H264" i="1"/>
  <c r="I264" i="1"/>
  <c r="J264" i="1"/>
  <c r="K264" i="1"/>
  <c r="L264" i="1"/>
  <c r="M264" i="1"/>
  <c r="N264" i="1"/>
  <c r="O264" i="1"/>
  <c r="P264" i="1"/>
  <c r="Q264" i="1"/>
  <c r="R264" i="1"/>
  <c r="S264" i="1"/>
  <c r="T264" i="1"/>
  <c r="U264" i="1"/>
  <c r="V264" i="1"/>
  <c r="G264" i="1"/>
  <c r="G263" i="1"/>
  <c r="W260" i="1"/>
  <c r="W261" i="1"/>
  <c r="H257" i="1"/>
  <c r="I257" i="1"/>
  <c r="J257" i="1"/>
  <c r="K257" i="1"/>
  <c r="L257" i="1"/>
  <c r="M257" i="1"/>
  <c r="N257" i="1"/>
  <c r="O257" i="1"/>
  <c r="P257" i="1"/>
  <c r="Q257" i="1"/>
  <c r="R257" i="1"/>
  <c r="S257" i="1"/>
  <c r="T257" i="1"/>
  <c r="U257" i="1"/>
  <c r="V257" i="1"/>
  <c r="H258" i="1"/>
  <c r="I258" i="1"/>
  <c r="J258" i="1"/>
  <c r="K258" i="1"/>
  <c r="L258" i="1"/>
  <c r="M258" i="1"/>
  <c r="N258" i="1"/>
  <c r="O258" i="1"/>
  <c r="P258" i="1"/>
  <c r="Q258" i="1"/>
  <c r="R258" i="1"/>
  <c r="S258" i="1"/>
  <c r="T258" i="1"/>
  <c r="U258" i="1"/>
  <c r="V258" i="1"/>
  <c r="G258" i="1"/>
  <c r="G257" i="1"/>
  <c r="W255" i="1"/>
  <c r="W256" i="1"/>
  <c r="H250" i="1"/>
  <c r="I250" i="1"/>
  <c r="J250" i="1"/>
  <c r="K250" i="1"/>
  <c r="L250" i="1"/>
  <c r="M250" i="1"/>
  <c r="N250" i="1"/>
  <c r="O250" i="1"/>
  <c r="P250" i="1"/>
  <c r="Q250" i="1"/>
  <c r="R250" i="1"/>
  <c r="S250" i="1"/>
  <c r="T250" i="1"/>
  <c r="U250" i="1"/>
  <c r="V250" i="1"/>
  <c r="H251" i="1"/>
  <c r="I251" i="1"/>
  <c r="J251" i="1"/>
  <c r="K251" i="1"/>
  <c r="L251" i="1"/>
  <c r="M251" i="1"/>
  <c r="N251" i="1"/>
  <c r="O251" i="1"/>
  <c r="P251" i="1"/>
  <c r="Q251" i="1"/>
  <c r="R251" i="1"/>
  <c r="S251" i="1"/>
  <c r="T251" i="1"/>
  <c r="U251" i="1"/>
  <c r="V251" i="1"/>
  <c r="H252" i="1"/>
  <c r="I252" i="1"/>
  <c r="J252" i="1"/>
  <c r="K252" i="1"/>
  <c r="L252" i="1"/>
  <c r="M252" i="1"/>
  <c r="N252" i="1"/>
  <c r="O252" i="1"/>
  <c r="P252" i="1"/>
  <c r="Q252" i="1"/>
  <c r="R252" i="1"/>
  <c r="S252" i="1"/>
  <c r="T252" i="1"/>
  <c r="U252" i="1"/>
  <c r="V252" i="1"/>
  <c r="G252" i="1"/>
  <c r="G251" i="1"/>
  <c r="G250" i="1"/>
  <c r="W249" i="1"/>
  <c r="W247" i="1"/>
  <c r="W245" i="1"/>
  <c r="W246" i="1"/>
  <c r="H241" i="1"/>
  <c r="I241" i="1"/>
  <c r="J241" i="1"/>
  <c r="K241" i="1"/>
  <c r="L241" i="1"/>
  <c r="M241" i="1"/>
  <c r="N241" i="1"/>
  <c r="O241" i="1"/>
  <c r="P241" i="1"/>
  <c r="Q241" i="1"/>
  <c r="R241" i="1"/>
  <c r="S241" i="1"/>
  <c r="T241" i="1"/>
  <c r="U241" i="1"/>
  <c r="V241" i="1"/>
  <c r="H242" i="1"/>
  <c r="I242" i="1"/>
  <c r="J242" i="1"/>
  <c r="K242" i="1"/>
  <c r="L242" i="1"/>
  <c r="M242" i="1"/>
  <c r="N242" i="1"/>
  <c r="O242" i="1"/>
  <c r="P242" i="1"/>
  <c r="Q242" i="1"/>
  <c r="R242" i="1"/>
  <c r="S242" i="1"/>
  <c r="T242" i="1"/>
  <c r="U242" i="1"/>
  <c r="V242" i="1"/>
  <c r="H243" i="1"/>
  <c r="I243" i="1"/>
  <c r="K243" i="1"/>
  <c r="M243" i="1"/>
  <c r="N243" i="1"/>
  <c r="O243" i="1"/>
  <c r="P243" i="1"/>
  <c r="Q243" i="1"/>
  <c r="R243" i="1"/>
  <c r="S243" i="1"/>
  <c r="T243" i="1"/>
  <c r="U243" i="1"/>
  <c r="V243" i="1"/>
  <c r="G242" i="1"/>
  <c r="G241" i="1"/>
  <c r="W238" i="1"/>
  <c r="W234" i="1"/>
  <c r="W235" i="1"/>
  <c r="W236" i="1"/>
  <c r="W237" i="1"/>
  <c r="H231" i="1"/>
  <c r="I231" i="1"/>
  <c r="J231" i="1"/>
  <c r="K231" i="1"/>
  <c r="L231" i="1"/>
  <c r="M231" i="1"/>
  <c r="N231" i="1"/>
  <c r="O231" i="1"/>
  <c r="P231" i="1"/>
  <c r="Q231" i="1"/>
  <c r="R231" i="1"/>
  <c r="S231" i="1"/>
  <c r="T231" i="1"/>
  <c r="U231" i="1"/>
  <c r="H232" i="1"/>
  <c r="I232" i="1"/>
  <c r="J232" i="1"/>
  <c r="K232" i="1"/>
  <c r="L232" i="1"/>
  <c r="M232" i="1"/>
  <c r="N232" i="1"/>
  <c r="O232" i="1"/>
  <c r="P232" i="1"/>
  <c r="Q232" i="1"/>
  <c r="R232" i="1"/>
  <c r="S232" i="1"/>
  <c r="T232" i="1"/>
  <c r="U232" i="1"/>
  <c r="G232" i="1"/>
  <c r="G231" i="1"/>
  <c r="W229" i="1"/>
  <c r="W230" i="1"/>
  <c r="H225" i="1"/>
  <c r="I225" i="1"/>
  <c r="J225" i="1"/>
  <c r="K225" i="1"/>
  <c r="L225" i="1"/>
  <c r="M225" i="1"/>
  <c r="N225" i="1"/>
  <c r="O225" i="1"/>
  <c r="P225" i="1"/>
  <c r="Q225" i="1"/>
  <c r="R225" i="1"/>
  <c r="S225" i="1"/>
  <c r="T225" i="1"/>
  <c r="U225" i="1"/>
  <c r="V225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V226" i="1"/>
  <c r="G226" i="1"/>
  <c r="G225" i="1"/>
  <c r="W224" i="1"/>
  <c r="W217" i="1"/>
  <c r="W218" i="1"/>
  <c r="W219" i="1"/>
  <c r="W220" i="1"/>
  <c r="W213" i="1"/>
  <c r="W214" i="1"/>
  <c r="W215" i="1"/>
  <c r="W216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G210" i="1"/>
  <c r="G209" i="1"/>
  <c r="G208" i="1"/>
  <c r="W202" i="1"/>
  <c r="W203" i="1"/>
  <c r="W204" i="1"/>
  <c r="W205" i="1"/>
  <c r="W253" i="1"/>
  <c r="W254" i="1"/>
  <c r="W259" i="1"/>
  <c r="W262" i="1"/>
  <c r="W265" i="1"/>
  <c r="W196" i="1"/>
  <c r="W197" i="1"/>
  <c r="W198" i="1"/>
  <c r="W199" i="1"/>
  <c r="W200" i="1"/>
  <c r="W201" i="1"/>
  <c r="W206" i="1"/>
  <c r="W207" i="1"/>
  <c r="W211" i="1"/>
  <c r="W212" i="1"/>
  <c r="W221" i="1"/>
  <c r="W222" i="1"/>
  <c r="W223" i="1"/>
  <c r="W227" i="1"/>
  <c r="W228" i="1"/>
  <c r="W233" i="1"/>
  <c r="W244" i="1"/>
  <c r="W248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H181" i="1"/>
  <c r="I181" i="1"/>
  <c r="K181" i="1"/>
  <c r="L181" i="1"/>
  <c r="M181" i="1"/>
  <c r="O181" i="1"/>
  <c r="P181" i="1"/>
  <c r="Q181" i="1"/>
  <c r="R181" i="1"/>
  <c r="S181" i="1"/>
  <c r="U181" i="1"/>
  <c r="V181" i="1"/>
  <c r="H182" i="1"/>
  <c r="I182" i="1"/>
  <c r="J182" i="1"/>
  <c r="K182" i="1"/>
  <c r="L182" i="1"/>
  <c r="N182" i="1"/>
  <c r="O182" i="1"/>
  <c r="P182" i="1"/>
  <c r="Q182" i="1"/>
  <c r="R182" i="1"/>
  <c r="S182" i="1"/>
  <c r="T182" i="1"/>
  <c r="U182" i="1"/>
  <c r="V182" i="1"/>
  <c r="G182" i="1"/>
  <c r="G180" i="1"/>
  <c r="W179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H172" i="1"/>
  <c r="I172" i="1"/>
  <c r="K172" i="1"/>
  <c r="L172" i="1"/>
  <c r="M172" i="1"/>
  <c r="N172" i="1"/>
  <c r="O172" i="1"/>
  <c r="P172" i="1"/>
  <c r="Q172" i="1"/>
  <c r="R172" i="1"/>
  <c r="S172" i="1"/>
  <c r="U172" i="1"/>
  <c r="V172" i="1"/>
  <c r="H173" i="1"/>
  <c r="I173" i="1"/>
  <c r="J173" i="1"/>
  <c r="L173" i="1"/>
  <c r="N173" i="1"/>
  <c r="O173" i="1"/>
  <c r="P173" i="1"/>
  <c r="Q173" i="1"/>
  <c r="R173" i="1"/>
  <c r="S173" i="1"/>
  <c r="T173" i="1"/>
  <c r="U173" i="1"/>
  <c r="V173" i="1"/>
  <c r="G173" i="1"/>
  <c r="G172" i="1"/>
  <c r="G171" i="1"/>
  <c r="W171" i="1" s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H164" i="1"/>
  <c r="I164" i="1"/>
  <c r="K164" i="1"/>
  <c r="M164" i="1"/>
  <c r="N164" i="1"/>
  <c r="O164" i="1"/>
  <c r="P164" i="1"/>
  <c r="Q164" i="1"/>
  <c r="R164" i="1"/>
  <c r="S164" i="1"/>
  <c r="T164" i="1"/>
  <c r="U164" i="1"/>
  <c r="V164" i="1"/>
  <c r="G164" i="1"/>
  <c r="G163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G158" i="1"/>
  <c r="G157" i="1"/>
  <c r="G156" i="1"/>
  <c r="W153" i="1"/>
  <c r="W154" i="1"/>
  <c r="W155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G149" i="1"/>
  <c r="G148" i="1"/>
  <c r="G147" i="1"/>
  <c r="W144" i="1"/>
  <c r="W145" i="1"/>
  <c r="W146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G140" i="1"/>
  <c r="G139" i="1"/>
  <c r="G138" i="1"/>
  <c r="I129" i="1"/>
  <c r="J129" i="1"/>
  <c r="K129" i="1"/>
  <c r="L129" i="1"/>
  <c r="M129" i="1"/>
  <c r="N129" i="1"/>
  <c r="P129" i="1"/>
  <c r="Q129" i="1"/>
  <c r="R129" i="1"/>
  <c r="S129" i="1"/>
  <c r="T129" i="1"/>
  <c r="U129" i="1"/>
  <c r="V129" i="1"/>
  <c r="H130" i="1"/>
  <c r="I130" i="1"/>
  <c r="J130" i="1"/>
  <c r="K130" i="1"/>
  <c r="L130" i="1"/>
  <c r="N130" i="1"/>
  <c r="O130" i="1"/>
  <c r="P130" i="1"/>
  <c r="Q130" i="1"/>
  <c r="R130" i="1"/>
  <c r="S130" i="1"/>
  <c r="T130" i="1"/>
  <c r="U130" i="1"/>
  <c r="V130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G131" i="1"/>
  <c r="G130" i="1"/>
  <c r="G129" i="1"/>
  <c r="W126" i="1"/>
  <c r="W128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G122" i="1"/>
  <c r="G121" i="1"/>
  <c r="W118" i="1"/>
  <c r="W119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G112" i="1"/>
  <c r="G111" i="1"/>
  <c r="W108" i="1"/>
  <c r="W109" i="1"/>
  <c r="W110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G100" i="1"/>
  <c r="G99" i="1"/>
  <c r="G98" i="1"/>
  <c r="W95" i="1"/>
  <c r="W96" i="1"/>
  <c r="W97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H90" i="1"/>
  <c r="I90" i="1"/>
  <c r="J90" i="1"/>
  <c r="K90" i="1"/>
  <c r="L90" i="1"/>
  <c r="M90" i="1"/>
  <c r="N90" i="1"/>
  <c r="W90" i="1" s="1"/>
  <c r="O90" i="1"/>
  <c r="P90" i="1"/>
  <c r="Q90" i="1"/>
  <c r="R90" i="1"/>
  <c r="S90" i="1"/>
  <c r="T90" i="1"/>
  <c r="U90" i="1"/>
  <c r="V90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G91" i="1"/>
  <c r="W91" i="1" s="1"/>
  <c r="G90" i="1"/>
  <c r="G89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G82" i="1"/>
  <c r="G81" i="1"/>
  <c r="G80" i="1"/>
  <c r="W87" i="1"/>
  <c r="W88" i="1"/>
  <c r="W86" i="1"/>
  <c r="W79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G73" i="1"/>
  <c r="G72" i="1"/>
  <c r="W71" i="1"/>
  <c r="H65" i="1"/>
  <c r="W65" i="1" s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H66" i="1"/>
  <c r="I66" i="1"/>
  <c r="W66" i="1" s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H67" i="1"/>
  <c r="I67" i="1"/>
  <c r="J67" i="1"/>
  <c r="W67" i="1" s="1"/>
  <c r="K67" i="1"/>
  <c r="L67" i="1"/>
  <c r="M67" i="1"/>
  <c r="N67" i="1"/>
  <c r="O67" i="1"/>
  <c r="P67" i="1"/>
  <c r="Q67" i="1"/>
  <c r="R67" i="1"/>
  <c r="S67" i="1"/>
  <c r="T67" i="1"/>
  <c r="U67" i="1"/>
  <c r="V67" i="1"/>
  <c r="G67" i="1"/>
  <c r="G66" i="1"/>
  <c r="G65" i="1"/>
  <c r="W64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H55" i="1"/>
  <c r="I55" i="1"/>
  <c r="W55" i="1" s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G56" i="1"/>
  <c r="G55" i="1"/>
  <c r="G54" i="1"/>
  <c r="G53" i="1"/>
  <c r="W50" i="1"/>
  <c r="W51" i="1"/>
  <c r="W5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G44" i="1"/>
  <c r="G43" i="1"/>
  <c r="G42" i="1"/>
  <c r="W41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G35" i="1"/>
  <c r="G34" i="1"/>
  <c r="G33" i="1"/>
  <c r="W32" i="1"/>
  <c r="W30" i="1"/>
  <c r="W31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H26" i="1"/>
  <c r="I26" i="1"/>
  <c r="J26" i="1"/>
  <c r="W26" i="1" s="1"/>
  <c r="K26" i="1"/>
  <c r="L26" i="1"/>
  <c r="M26" i="1"/>
  <c r="N26" i="1"/>
  <c r="O26" i="1"/>
  <c r="P26" i="1"/>
  <c r="Q26" i="1"/>
  <c r="R26" i="1"/>
  <c r="S26" i="1"/>
  <c r="T26" i="1"/>
  <c r="U26" i="1"/>
  <c r="V26" i="1"/>
  <c r="G26" i="1"/>
  <c r="G25" i="1"/>
  <c r="G24" i="1"/>
  <c r="W23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G17" i="1"/>
  <c r="G16" i="1"/>
  <c r="G15" i="1"/>
  <c r="W15" i="1" s="1"/>
  <c r="W14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 s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G10" i="1"/>
  <c r="G9" i="1"/>
  <c r="W9" i="1" s="1"/>
  <c r="G8" i="1"/>
  <c r="W57" i="1"/>
  <c r="W58" i="1"/>
  <c r="W170" i="1"/>
  <c r="W166" i="1"/>
  <c r="W168" i="1"/>
  <c r="W177" i="1"/>
  <c r="W175" i="1"/>
  <c r="W160" i="1"/>
  <c r="W162" i="1"/>
  <c r="W189" i="1"/>
  <c r="W190" i="1"/>
  <c r="W191" i="1"/>
  <c r="W192" i="1"/>
  <c r="W194" i="1"/>
  <c r="W195" i="1"/>
  <c r="W186" i="1"/>
  <c r="W106" i="1"/>
  <c r="W107" i="1"/>
  <c r="W116" i="1"/>
  <c r="W124" i="1"/>
  <c r="W132" i="1"/>
  <c r="W133" i="1"/>
  <c r="W134" i="1"/>
  <c r="W135" i="1"/>
  <c r="W136" i="1"/>
  <c r="W137" i="1"/>
  <c r="W141" i="1"/>
  <c r="W142" i="1"/>
  <c r="W143" i="1"/>
  <c r="W150" i="1"/>
  <c r="W151" i="1"/>
  <c r="W152" i="1"/>
  <c r="W159" i="1"/>
  <c r="W161" i="1"/>
  <c r="W176" i="1"/>
  <c r="W184" i="1"/>
  <c r="W77" i="1"/>
  <c r="W78" i="1"/>
  <c r="W83" i="1"/>
  <c r="W84" i="1"/>
  <c r="W85" i="1"/>
  <c r="W92" i="1"/>
  <c r="W93" i="1"/>
  <c r="W94" i="1"/>
  <c r="W105" i="1"/>
  <c r="W11" i="1"/>
  <c r="W12" i="1"/>
  <c r="W13" i="1"/>
  <c r="W18" i="1"/>
  <c r="W19" i="1"/>
  <c r="W20" i="1"/>
  <c r="W21" i="1"/>
  <c r="W22" i="1"/>
  <c r="W27" i="1"/>
  <c r="W28" i="1"/>
  <c r="W29" i="1"/>
  <c r="W36" i="1"/>
  <c r="W37" i="1"/>
  <c r="W38" i="1"/>
  <c r="W39" i="1"/>
  <c r="W45" i="1"/>
  <c r="W46" i="1"/>
  <c r="W47" i="1"/>
  <c r="W48" i="1"/>
  <c r="W49" i="1"/>
  <c r="W59" i="1"/>
  <c r="W60" i="1"/>
  <c r="W63" i="1"/>
  <c r="W68" i="1"/>
  <c r="W69" i="1"/>
  <c r="W70" i="1"/>
  <c r="W74" i="1"/>
  <c r="W75" i="1"/>
  <c r="W76" i="1"/>
  <c r="W103" i="1"/>
  <c r="W62" i="1"/>
  <c r="W104" i="1"/>
  <c r="W5" i="1"/>
  <c r="W101" i="1"/>
  <c r="W4" i="1"/>
  <c r="W2" i="1"/>
  <c r="W3" i="1"/>
  <c r="W102" i="1"/>
  <c r="W61" i="1"/>
  <c r="W40" i="1"/>
  <c r="W7" i="1"/>
  <c r="W6" i="1"/>
  <c r="W242" i="1" l="1"/>
  <c r="W231" i="1"/>
  <c r="W113" i="1"/>
  <c r="W185" i="1"/>
  <c r="W114" i="1"/>
  <c r="W208" i="1"/>
  <c r="W226" i="1"/>
  <c r="W232" i="1"/>
  <c r="W188" i="1"/>
  <c r="W187" i="1"/>
  <c r="W240" i="1"/>
  <c r="H129" i="1"/>
  <c r="W35" i="1"/>
  <c r="W34" i="1"/>
  <c r="W33" i="1"/>
  <c r="W193" i="1"/>
  <c r="W273" i="1"/>
  <c r="W272" i="1"/>
  <c r="W271" i="1"/>
  <c r="W43" i="1"/>
  <c r="W42" i="1"/>
  <c r="W44" i="1"/>
  <c r="W16" i="1"/>
  <c r="W17" i="1"/>
  <c r="W10" i="1"/>
  <c r="W25" i="1"/>
  <c r="W24" i="1"/>
  <c r="W98" i="1"/>
  <c r="W99" i="1"/>
  <c r="W100" i="1"/>
  <c r="W89" i="1"/>
  <c r="W81" i="1"/>
  <c r="W82" i="1"/>
  <c r="W80" i="1"/>
  <c r="W72" i="1"/>
  <c r="W73" i="1"/>
  <c r="W54" i="1"/>
  <c r="W56" i="1"/>
  <c r="W53" i="1"/>
  <c r="W264" i="1"/>
  <c r="W263" i="1"/>
  <c r="W258" i="1"/>
  <c r="W257" i="1"/>
  <c r="W252" i="1"/>
  <c r="W250" i="1"/>
  <c r="W251" i="1"/>
  <c r="W180" i="1"/>
  <c r="W181" i="1"/>
  <c r="W173" i="1"/>
  <c r="W163" i="1"/>
  <c r="W140" i="1"/>
  <c r="W138" i="1"/>
  <c r="W158" i="1"/>
  <c r="W157" i="1"/>
  <c r="W156" i="1"/>
  <c r="W147" i="1"/>
  <c r="W148" i="1"/>
  <c r="W149" i="1"/>
  <c r="W139" i="1"/>
  <c r="W164" i="1"/>
  <c r="W243" i="1"/>
  <c r="W182" i="1"/>
  <c r="W172" i="1"/>
  <c r="W178" i="1"/>
  <c r="W125" i="1"/>
  <c r="H122" i="1"/>
  <c r="W122" i="1" s="1"/>
  <c r="W131" i="1"/>
  <c r="W129" i="1"/>
  <c r="W174" i="1"/>
  <c r="W123" i="1"/>
  <c r="W127" i="1"/>
  <c r="W209" i="1"/>
  <c r="W210" i="1"/>
  <c r="W241" i="1"/>
  <c r="W169" i="1"/>
  <c r="W167" i="1"/>
  <c r="W225" i="1"/>
  <c r="W165" i="1"/>
  <c r="W130" i="1"/>
  <c r="W121" i="1"/>
  <c r="W112" i="1"/>
  <c r="W111" i="1"/>
</calcChain>
</file>

<file path=xl/sharedStrings.xml><?xml version="1.0" encoding="utf-8"?>
<sst xmlns="http://schemas.openxmlformats.org/spreadsheetml/2006/main" count="532" uniqueCount="337">
  <si>
    <t>místo</t>
  </si>
  <si>
    <t>popis</t>
  </si>
  <si>
    <t>číslo směru v místě</t>
  </si>
  <si>
    <t>číslo směru</t>
  </si>
  <si>
    <t>směr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</si>
  <si>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</si>
  <si>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</si>
  <si>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</si>
  <si>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</si>
  <si>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</si>
  <si>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</si>
  <si>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</si>
  <si>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</si>
  <si>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</si>
  <si>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</si>
  <si>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</si>
  <si>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</si>
  <si>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</si>
  <si>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</si>
  <si>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</si>
  <si>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</si>
  <si>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celkem za den</t>
  </si>
  <si>
    <t>poznámky</t>
  </si>
  <si>
    <t>Radnické schody, Ke Hradu, Nerudova</t>
  </si>
  <si>
    <t>S1-S2</t>
  </si>
  <si>
    <t>k hradu z Radnických schodů</t>
  </si>
  <si>
    <t>S2-S1</t>
  </si>
  <si>
    <t>Radnické schody z hradu</t>
  </si>
  <si>
    <t>S1-S3</t>
  </si>
  <si>
    <t>Nerudova z Radnických schodů</t>
  </si>
  <si>
    <t>S3-S1</t>
  </si>
  <si>
    <t>Radnické schody z Nerudovy</t>
  </si>
  <si>
    <t>S4-S5</t>
  </si>
  <si>
    <t>hrad z Nerudovy</t>
  </si>
  <si>
    <t>S5-S4</t>
  </si>
  <si>
    <t>Nerudova z hradu</t>
  </si>
  <si>
    <t>celkem: na Radnické schody</t>
  </si>
  <si>
    <t>celkem: Ke Hradu</t>
  </si>
  <si>
    <t>celkem: Nerudova</t>
  </si>
  <si>
    <t>Úvoz, k hradu, Nerudova</t>
  </si>
  <si>
    <t>z Úvozu na hrad</t>
  </si>
  <si>
    <t>z hradu na Úvoz</t>
  </si>
  <si>
    <t>z Úvozu do Nerudovy</t>
  </si>
  <si>
    <t>z Nerudovy na Úvoz</t>
  </si>
  <si>
    <t>celkem: na hrad</t>
  </si>
  <si>
    <t>celkem: do Nerudovy</t>
  </si>
  <si>
    <t>celkem na Úvoz</t>
  </si>
  <si>
    <t>schody: Jánský vršek, Nerudova</t>
  </si>
  <si>
    <t>ze schodů nahorů k hradu</t>
  </si>
  <si>
    <t>od hradu dolů po schodech</t>
  </si>
  <si>
    <t>S1-S5</t>
  </si>
  <si>
    <t>ze schodů na Malostranské náměstí</t>
  </si>
  <si>
    <t>S5-S1</t>
  </si>
  <si>
    <t>od Malostrasného náměstí po schodech dolů</t>
  </si>
  <si>
    <t>S3-S4</t>
  </si>
  <si>
    <t>Nerudova: dolů na Malostranské nám.</t>
  </si>
  <si>
    <t>S4-S3</t>
  </si>
  <si>
    <t>Nerudova: nahorů na hrad</t>
  </si>
  <si>
    <t>celkem: nahorů na hrad</t>
  </si>
  <si>
    <t>celkem : dolů na Malostranské náměstí</t>
  </si>
  <si>
    <t>celkem: po schodech na Jánský vršek</t>
  </si>
  <si>
    <t>Horní Malostranské náměstí, Zámecká, Nerudova</t>
  </si>
  <si>
    <t>ze Zámecké do Nerudovy</t>
  </si>
  <si>
    <t>z Nerudovy do Zámecké</t>
  </si>
  <si>
    <t>ze Zámecké na náměstí</t>
  </si>
  <si>
    <t>z náměstí do Zámecké</t>
  </si>
  <si>
    <t>z náměstí do Nerudovy</t>
  </si>
  <si>
    <t>z Nerudovy na náměstí</t>
  </si>
  <si>
    <t>celkem: do Zámecké</t>
  </si>
  <si>
    <t>celkem: na Malostranské náměstí</t>
  </si>
  <si>
    <t>Sněmovní, Malostranské náměstí</t>
  </si>
  <si>
    <t>ze Sněmovní na horní náměstí</t>
  </si>
  <si>
    <t>z horního náměstí do Sněmovní</t>
  </si>
  <si>
    <t>ze Sněmovní na dolní náměstí</t>
  </si>
  <si>
    <t>z dolního náměstí do Sněmovní</t>
  </si>
  <si>
    <t>z dolního náměstí na horní</t>
  </si>
  <si>
    <t>z horního náměstí na dolní</t>
  </si>
  <si>
    <t>celkem: Sněmovní</t>
  </si>
  <si>
    <t>celkem: dolní náměstí</t>
  </si>
  <si>
    <t>celkem: horní náměstí</t>
  </si>
  <si>
    <t>Malostranské náměstí, Tomášská, Letenská</t>
  </si>
  <si>
    <t>z Tomášské nahorů na náměstí</t>
  </si>
  <si>
    <t>z náměstí do Tomášské</t>
  </si>
  <si>
    <t>z Tomášské na Letenskou</t>
  </si>
  <si>
    <t>z Letenské do Tomášské</t>
  </si>
  <si>
    <t>S3-S5</t>
  </si>
  <si>
    <t>z Letenské na náměstí k besedě</t>
  </si>
  <si>
    <t>S5-S3</t>
  </si>
  <si>
    <t>od besedy do Letenské</t>
  </si>
  <si>
    <t>z Tomášské k besedě</t>
  </si>
  <si>
    <t>od besedy do Tomášské</t>
  </si>
  <si>
    <t>celkem: Tomášská</t>
  </si>
  <si>
    <t>celkem: Letenská</t>
  </si>
  <si>
    <t>celkem: nahorů na náměstí</t>
  </si>
  <si>
    <t>celkem: k Malostranské besedě</t>
  </si>
  <si>
    <t>6a</t>
  </si>
  <si>
    <t>Pasáž: Malostrasnké náměstí - Tržiště</t>
  </si>
  <si>
    <t>na Malostranské náměstí</t>
  </si>
  <si>
    <t>na Tržiště</t>
  </si>
  <si>
    <t>Malostranské náměstí, Karmelitská</t>
  </si>
  <si>
    <t>z Karmelitské k mostu</t>
  </si>
  <si>
    <t>od mostu (dolní náměstí) do Karmelitské</t>
  </si>
  <si>
    <t>z Karmelitské na horní náměstí</t>
  </si>
  <si>
    <t>z horního náměstí do Karmelitské</t>
  </si>
  <si>
    <t>celkem: Karmelitská</t>
  </si>
  <si>
    <t>Mostecká, Malostranské nám.</t>
  </si>
  <si>
    <t>z Mostecké ulice na náměstí nahorů</t>
  </si>
  <si>
    <t>z (horního) náměstí do Mostecké</t>
  </si>
  <si>
    <t>z Mostecké ulice k besedě (podloubí)</t>
  </si>
  <si>
    <t>od besedy (podloubí) do Mostecké ulice</t>
  </si>
  <si>
    <t>celkem: Mostecká (k mostu)</t>
  </si>
  <si>
    <t>celkem: Malostranské náměstí</t>
  </si>
  <si>
    <t>Mostecká ul., Josefská ul.</t>
  </si>
  <si>
    <t>Z Josefské do Mostecké k náměstí</t>
  </si>
  <si>
    <t>od náměstí (Mostecká) do Josefské</t>
  </si>
  <si>
    <t>z Josefské do Mostecké (k mostu)</t>
  </si>
  <si>
    <t>od mostu (Mostecká) do Josefské</t>
  </si>
  <si>
    <t>Mostecká: od náměstí k mostu</t>
  </si>
  <si>
    <t>Mostecká: od mostu k náměstí</t>
  </si>
  <si>
    <t>celkem: Mostecká - k náměstí</t>
  </si>
  <si>
    <t>celkem: Mostecká - k mostu</t>
  </si>
  <si>
    <t>celkem: Josefská ul.</t>
  </si>
  <si>
    <t>Mostecká ul., Lázeňská ul.</t>
  </si>
  <si>
    <t>z Lázeňské k náměstí</t>
  </si>
  <si>
    <t>od náměstí (Mostecká) do Lázeňské</t>
  </si>
  <si>
    <t>z Lázeňské k mostu</t>
  </si>
  <si>
    <t>od mostu (Mostecká) do Lázeňské</t>
  </si>
  <si>
    <t>celkem: Lázeňská ul.</t>
  </si>
  <si>
    <t>Malostranská mostecká věž</t>
  </si>
  <si>
    <t>od Dražického do Mostecké</t>
  </si>
  <si>
    <t>z Mostecké k Dražického</t>
  </si>
  <si>
    <t>od od mostu do Motecké (pod věží)</t>
  </si>
  <si>
    <t>z Mostecké na most (pod věží)</t>
  </si>
  <si>
    <t>S5-S6</t>
  </si>
  <si>
    <t>z mostu k Dražického (před věží)</t>
  </si>
  <si>
    <t>S6-S5</t>
  </si>
  <si>
    <t>od Dražického na most (kolem věže)</t>
  </si>
  <si>
    <t>celkem: k Dražického (mimo Královskou cestu)</t>
  </si>
  <si>
    <t>celkem: do Mostecké ulice</t>
  </si>
  <si>
    <t>celkem: na Karlův most</t>
  </si>
  <si>
    <t>Karlův most: schody na Kampu</t>
  </si>
  <si>
    <t>schody: nahorů</t>
  </si>
  <si>
    <t>schody: dolů</t>
  </si>
  <si>
    <t>Křížovnická</t>
  </si>
  <si>
    <t>Křížovnická (k mostu)</t>
  </si>
  <si>
    <t>Křížovnická (k Rudolfinu)</t>
  </si>
  <si>
    <t>Křížovnické náměstí: podchod</t>
  </si>
  <si>
    <t>Průchod kolem stánků: k mostu</t>
  </si>
  <si>
    <t>Průchod kolem stánků: Smetanovo nábřeží</t>
  </si>
  <si>
    <t>Podchod pod budovou (blíž k mostu): k mostu</t>
  </si>
  <si>
    <t>Podchod pod budovou (blíž k mostu): Smetanovo nábřeží</t>
  </si>
  <si>
    <t>Podchod pod budovou (blíž ke Karlově ul.): k mostu</t>
  </si>
  <si>
    <t>Podchod pod budovou (blíž ke Karlově ul.): Smetanovo nábřeží</t>
  </si>
  <si>
    <t>celkem: na Královskou cestu</t>
  </si>
  <si>
    <t>celkem: Smetanovo nábřeží</t>
  </si>
  <si>
    <t>Křížovnické náměstí, Karlova</t>
  </si>
  <si>
    <t>z Karlovy na Křížovnické náměstí</t>
  </si>
  <si>
    <t xml:space="preserve">z Křížovnického náměstí do Karlovy ul. </t>
  </si>
  <si>
    <t>Karlova, Liliová</t>
  </si>
  <si>
    <t>Z Lilové do Karlovy</t>
  </si>
  <si>
    <t>z Karlovy do Liliové</t>
  </si>
  <si>
    <t>z Liliové na náměstíčko</t>
  </si>
  <si>
    <t>z náměstíčka do Liliové</t>
  </si>
  <si>
    <t>z Karlovy na náměstíčko</t>
  </si>
  <si>
    <t>z náměstíčka do Karlovy</t>
  </si>
  <si>
    <t>celkem: do Liliové</t>
  </si>
  <si>
    <t>celkem: na náměstíčko</t>
  </si>
  <si>
    <t>Nároží ulice Karlova a Seminářská</t>
  </si>
  <si>
    <t>Seminárská do Karlovy (směr na Staroměstského náměstí)</t>
  </si>
  <si>
    <t>z Karlovy do Seminárské (směr od Staroměstského náměstí)</t>
  </si>
  <si>
    <t>Seminárská do Karlovy (směr na Karlův most)</t>
  </si>
  <si>
    <t>z Karlovy do Seminárské (směr od Karlova mostu)</t>
  </si>
  <si>
    <t>Karlova (směr ke Karlovu mostu)</t>
  </si>
  <si>
    <t>Karlova (směr ke Staroměstskému náměstí)</t>
  </si>
  <si>
    <t>celkem: Karlova ve směru ke Karlovu mostu</t>
  </si>
  <si>
    <t>celkem: Karlova ve směru ke Staroměstskému náměstí</t>
  </si>
  <si>
    <t>celkem: do ulice Seminářská</t>
  </si>
  <si>
    <t>křížení Husova a Karlova (blíž k Mariánskému náměstí)</t>
  </si>
  <si>
    <t>Karlova do Husovy (směr ke Staroměstkému nám.)</t>
  </si>
  <si>
    <t>Husova do Karlovy (od Staroměstského náměstí)</t>
  </si>
  <si>
    <t>Karlova do Husovy (směr k Mariánskému nám.)</t>
  </si>
  <si>
    <t>Husova do Karlovy (od Mariánského náměstí)</t>
  </si>
  <si>
    <t>Husova: od Mariánského nám. ke Staroměstkému nám.</t>
  </si>
  <si>
    <t>Husova: od Staroměstského nám. k Mariánskému nám.</t>
  </si>
  <si>
    <t>celkem: Karlova ul.</t>
  </si>
  <si>
    <t>celkem: Husova (směr Mariánské nám.)</t>
  </si>
  <si>
    <t>celkem: Husova (směr ke Staroměstkému nám.)</t>
  </si>
  <si>
    <t>křížení Husova a Karlova (blíž ke Staroměstkému náměstí)</t>
  </si>
  <si>
    <t>Karlova do Husovy (směr k Národní tř.)</t>
  </si>
  <si>
    <t>Husova do Karlovy (od Národní tř.)</t>
  </si>
  <si>
    <t>Husova: od Mariánského nám. ke Národní tř.</t>
  </si>
  <si>
    <t>křížení Karlovy ulice a Jilské</t>
  </si>
  <si>
    <t>z Karlovy do Jilské (směr Národní tř.)</t>
  </si>
  <si>
    <t>z Jilské do Karlovy (směr od Národní tř.)</t>
  </si>
  <si>
    <t>Karlova: směr Malé nám.</t>
  </si>
  <si>
    <t>Karlova: směr Karlův most</t>
  </si>
  <si>
    <t>z Jilské do Karlovy (směr Malé nám.)</t>
  </si>
  <si>
    <t>z Karlovy do Jilské (směr z Malého nám.)</t>
  </si>
  <si>
    <t>celkem: do Jilské</t>
  </si>
  <si>
    <t>celkem: Karlova - směr Karlův most</t>
  </si>
  <si>
    <t>celkem: Karlova - směr Malé nám.</t>
  </si>
  <si>
    <t>Mariálnské náměstí: Platnéřská, Valentinská</t>
  </si>
  <si>
    <t>Platnéřská: směr kolem knihovny</t>
  </si>
  <si>
    <t>Platnéřská: směr od knihovny k vodě</t>
  </si>
  <si>
    <t>Platnéřská: směr Seminářská, parkoviště</t>
  </si>
  <si>
    <t>Platnéřská: směr do ulice k vodě</t>
  </si>
  <si>
    <t>celkem: z náměstí</t>
  </si>
  <si>
    <t>celkem: do náměstí</t>
  </si>
  <si>
    <t>křížení Platnéřská, Žatecká</t>
  </si>
  <si>
    <t>ze Žatecké do Platnéřské (směr Staroměstské náměstí)</t>
  </si>
  <si>
    <t>z Platnéřské do Žatecké (směr od Staroměstského nám.)</t>
  </si>
  <si>
    <t>ze Žatecké do Platnéřské (směr Mariánské náměstí)</t>
  </si>
  <si>
    <t>z Platnéřské do Žatecké (směr od Mariánské nám.)</t>
  </si>
  <si>
    <t>Platnéřská: od Staroměstského na Mariánské nám.</t>
  </si>
  <si>
    <t>Platnéřská: od Mariánského ke Staroměstskému nám.</t>
  </si>
  <si>
    <t>celkem: do Žatecké</t>
  </si>
  <si>
    <t>celkem: Platnéřská ve směru Staroměstké nám.</t>
  </si>
  <si>
    <t>celkem: Platnéřská ve směru Mariánské nám.</t>
  </si>
  <si>
    <t>Linhartská ul., Malé nám., Náměstí F. Kafky</t>
  </si>
  <si>
    <t>z Linhartské na nám. F. Kafky</t>
  </si>
  <si>
    <t>z nám. F. Kafky do Linhartské</t>
  </si>
  <si>
    <t>z Linhartské na Malé nám.</t>
  </si>
  <si>
    <t>z Malého nám. do Linhartské</t>
  </si>
  <si>
    <t>z nám. F. Kafky na Malé nám.</t>
  </si>
  <si>
    <t>z Malého nám. Na nám. F. Kafky</t>
  </si>
  <si>
    <t>celkem: do Linhartské</t>
  </si>
  <si>
    <t>celkem: na Malé nám.</t>
  </si>
  <si>
    <t>celkem na nám. F. Kafky</t>
  </si>
  <si>
    <t>Staroměstské nám., Náměstí F. Kafky</t>
  </si>
  <si>
    <t>z Nám. F. Kafky na Staroměstské nám.</t>
  </si>
  <si>
    <t>ze Staroměstského nám. Na Náměstí F. Kafky</t>
  </si>
  <si>
    <t>Staroměstské nám., Pařížská ul.</t>
  </si>
  <si>
    <t>z Pařížské na náměstí</t>
  </si>
  <si>
    <t>z náměstí do Pařížské</t>
  </si>
  <si>
    <t>Staroměstské nám., Dlouhá tř.</t>
  </si>
  <si>
    <t>z Dlouhé na náměstí</t>
  </si>
  <si>
    <t>z náměstí do Dlouhé</t>
  </si>
  <si>
    <t>Malé náměstí: pasáž a průchod na Staroměstské nám.</t>
  </si>
  <si>
    <t>z pasáže na Malé nám.</t>
  </si>
  <si>
    <t>z Malého náměstí do pasáže</t>
  </si>
  <si>
    <t>ze Staroměstského náměstí na Malé nám.</t>
  </si>
  <si>
    <t>z Malého nám. Na Staroměstské nám.</t>
  </si>
  <si>
    <t>celkem na Malé nám.</t>
  </si>
  <si>
    <t>Staroměstské nám., Melantrichova</t>
  </si>
  <si>
    <t>z Melantrichovy na náměstí</t>
  </si>
  <si>
    <t>z náměstí do Melantrichovy</t>
  </si>
  <si>
    <t>Staroměstské nám., Železná</t>
  </si>
  <si>
    <t>z Železná na náměstí</t>
  </si>
  <si>
    <t>z náměstí do Železné</t>
  </si>
  <si>
    <t>Staroměstské nám., Týnská</t>
  </si>
  <si>
    <t>z Týnské na náměstí</t>
  </si>
  <si>
    <t>z náměstí do Týnské</t>
  </si>
  <si>
    <t>Staroměstské nám., Celetná</t>
  </si>
  <si>
    <t>z Celetné na náměstí</t>
  </si>
  <si>
    <t>z náměstí do Celetné</t>
  </si>
  <si>
    <t>křížení Celetné a Štupartské</t>
  </si>
  <si>
    <t>Celetná: z náměstí do Štupartské</t>
  </si>
  <si>
    <t>Celetná: ze Štupartské na náměstí</t>
  </si>
  <si>
    <t>Celetná: z náměstí směrem na nám. Republiky</t>
  </si>
  <si>
    <t>Celetná: od nám. Republiky na Staroměstské nám.</t>
  </si>
  <si>
    <t>ze Štupartské do Celetné (směr nám. Republiky)</t>
  </si>
  <si>
    <t>z Celetné do Štupartské (od nám. Republiky)</t>
  </si>
  <si>
    <t>celkem: na Staroměstské nám.</t>
  </si>
  <si>
    <t>celkem: do Celetné (směr nám. Republiky)</t>
  </si>
  <si>
    <t xml:space="preserve">celkem: do Štupartské </t>
  </si>
  <si>
    <t>pasáž: divadlo V Celetné</t>
  </si>
  <si>
    <t>z pasáže do ulice</t>
  </si>
  <si>
    <t>z ulice do pasáže</t>
  </si>
  <si>
    <t>křížení Celetná ulice, Ovocný trh, pasáže</t>
  </si>
  <si>
    <t>z Ovocného trhu</t>
  </si>
  <si>
    <t>z ulice na Ovocný trh</t>
  </si>
  <si>
    <t>Celetná: od Staroměstského nám.</t>
  </si>
  <si>
    <t>Celetná: z křížení do směru Staroměstského nám.</t>
  </si>
  <si>
    <t>pasáž Bolzano: do území</t>
  </si>
  <si>
    <t>pasáž Bolzáno: do pasáže</t>
  </si>
  <si>
    <t>S7-S8</t>
  </si>
  <si>
    <t>pasáž Templová: do území</t>
  </si>
  <si>
    <t>S8-S7</t>
  </si>
  <si>
    <t>pasáž Templová: do ulice Templová</t>
  </si>
  <si>
    <t>Ovocný trh, u divadla</t>
  </si>
  <si>
    <t>od Karolina na Ovocný trh</t>
  </si>
  <si>
    <t>z Ovocného trhu ke Karolinum</t>
  </si>
  <si>
    <t>z Rytířské na Ovocný trh</t>
  </si>
  <si>
    <t>z Ovocného trhu do Rytířské</t>
  </si>
  <si>
    <t>celkem: mimo území</t>
  </si>
  <si>
    <t>celkem: na Ovocný trh</t>
  </si>
  <si>
    <t>Ovocný trh, pasáže Panská a Myslbek</t>
  </si>
  <si>
    <t>pasáž Myslbek: na Ovocný trh</t>
  </si>
  <si>
    <t>pasáž Myslbek: do pasáže</t>
  </si>
  <si>
    <t>Panská pasáž: na Ovocný trh</t>
  </si>
  <si>
    <t>Panská pasáž: do pasáže</t>
  </si>
  <si>
    <t>křížení Králodvorská, Celetná, pasáž Broadway</t>
  </si>
  <si>
    <t>z Králodvorské do Celetné ve směru Staroměstské nám.</t>
  </si>
  <si>
    <t>z Celetné do Králodvorské od Staroměstského nám.</t>
  </si>
  <si>
    <t>z Králodvorské do Celetné ve směru nám. Republiky</t>
  </si>
  <si>
    <t>z Celetné do Králodvorské od nám. Republiky</t>
  </si>
  <si>
    <t>Celetná: od Staroměstského nám. na nám. Republiky</t>
  </si>
  <si>
    <t>Celetná: z nám. Republiky na Staroměstské nám.</t>
  </si>
  <si>
    <t>S6-S7</t>
  </si>
  <si>
    <t>pasáž Broadway: do území</t>
  </si>
  <si>
    <t>S7-S6</t>
  </si>
  <si>
    <t>pasáž Broadway: do pasáže</t>
  </si>
  <si>
    <t>celkem: do Králodvorské</t>
  </si>
  <si>
    <t>celkem: Celetná - směr Staroměstské nám.</t>
  </si>
  <si>
    <t>celkem: Celetná - směr Náměstí Republiky</t>
  </si>
  <si>
    <t>Betlémské náměstí, Náprstkova, Liliová</t>
  </si>
  <si>
    <t>z Náprstkovy do Liliové</t>
  </si>
  <si>
    <t>z Liliové do Náprstkovy</t>
  </si>
  <si>
    <t>z Náprstkovy na Betlémské nám.</t>
  </si>
  <si>
    <t>z Betlémského náměstí do Náprstkovy</t>
  </si>
  <si>
    <t>z Liliové na Betlémského nám.</t>
  </si>
  <si>
    <t>z Betlémského nám. do Liliové</t>
  </si>
  <si>
    <t>celkem: do Náprstkové ul.</t>
  </si>
  <si>
    <t>celkem: do Liliové ul.</t>
  </si>
  <si>
    <t>celkem: na Betlémské nám.</t>
  </si>
  <si>
    <t>Betlémské nám., Betlémská ul.</t>
  </si>
  <si>
    <t>z Betlémské ulice na náměstí (směr Náprstkova, Liliová)</t>
  </si>
  <si>
    <t>z náměstí do Betlémské ulice (směr Náprstkova, Liliová)</t>
  </si>
  <si>
    <t>z Betlémské ulice na náměstí (směr Betlémská kaple)</t>
  </si>
  <si>
    <t>z náměstí do Betlémské ulice (směr Betlémská kaple)</t>
  </si>
  <si>
    <t>celkem: na Betlémské náměstí</t>
  </si>
  <si>
    <t>celkem: do Betlémské ulice</t>
  </si>
  <si>
    <t>Betlémské náměstí, Konviktská ul.</t>
  </si>
  <si>
    <t>z Konviktské na náměstí (směr Náprstkovo muzeum)</t>
  </si>
  <si>
    <t>z náměstí do Konviktské ul. (směr Náprstkovo muzeum)</t>
  </si>
  <si>
    <t>z Konviktské na náměstí (směr Kaple)</t>
  </si>
  <si>
    <t>z náměstí do Konviktské ul. (směr Kaple)</t>
  </si>
  <si>
    <t>celkem: do Konviktské ul.</t>
  </si>
  <si>
    <t>Betlémské nám., Husova ul., ul. Na Perštýně</t>
  </si>
  <si>
    <t>z Betlémského nám. do ul. Na Perštýně</t>
  </si>
  <si>
    <t>z ul. Na Perštýně na Betlémské nám.</t>
  </si>
  <si>
    <t>z Betlémského nám. do Husovy ul.</t>
  </si>
  <si>
    <t>z Husovy ul. na Betlémské náměstí</t>
  </si>
  <si>
    <t>z ul. Na Perštýně do Husovy ul.</t>
  </si>
  <si>
    <t>z Husovy ul. do ul. Na Perštýně</t>
  </si>
  <si>
    <t>celkem: do ul. Na Perštýně</t>
  </si>
  <si>
    <t>celkem: do ul. Husova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</si>
</sst>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00B0F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theme="6"/>
      </left>
      <right/>
      <top/>
      <bottom/>
      <diagonal/>
    </border>
    <border>
      <left/>
      <right/>
      <top style="thin">
        <color theme="6"/>
      </top>
      <bottom/>
      <diagonal/>
    </border>
  </borders>
  <cellStyleXfs count="4">
    <xf numFmtId="0" fontId="0" fillId="0" borderId="0"/>
    <xf numFmtId="0" fontId="3" fillId="2" borderId="0" applyNumberFormat="0" applyBorder="0" applyAlignment="0" applyProtection="0"/>
    <xf numFmtId="0" fontId="4" fillId="3" borderId="19" applyNumberFormat="0" applyAlignment="0" applyProtection="0"/>
    <xf numFmtId="0" fontId="1" fillId="4" borderId="20" applyNumberFormat="0" applyAlignment="0" applyProtection="0"/>
  </cellStyleXfs>
  <cellXfs count="130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8" xfId="0" applyBorder="1"/>
    <xf numFmtId="0" fontId="0" fillId="0" borderId="7" xfId="0" applyBorder="1"/>
    <xf numFmtId="0" fontId="0" fillId="0" borderId="0" xfId="0" applyFill="1" applyBorder="1"/>
    <xf numFmtId="0" fontId="2" fillId="0" borderId="8" xfId="0" applyFont="1" applyBorder="1"/>
    <xf numFmtId="0" fontId="2" fillId="0" borderId="9" xfId="0" applyFont="1" applyBorder="1"/>
    <xf numFmtId="0" fontId="0" fillId="0" borderId="1" xfId="0" applyFill="1" applyBorder="1"/>
    <xf numFmtId="0" fontId="0" fillId="0" borderId="11" xfId="0" applyFill="1" applyBorder="1"/>
    <xf numFmtId="0" fontId="0" fillId="0" borderId="11" xfId="0" applyBorder="1"/>
    <xf numFmtId="0" fontId="2" fillId="0" borderId="12" xfId="0" applyFont="1" applyBorder="1"/>
    <xf numFmtId="0" fontId="0" fillId="0" borderId="0" xfId="0" applyNumberFormat="1"/>
    <xf numFmtId="0" fontId="0" fillId="0" borderId="0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NumberFormat="1" applyBorder="1"/>
    <xf numFmtId="0" fontId="0" fillId="0" borderId="1" xfId="0" applyNumberFormat="1" applyBorder="1"/>
    <xf numFmtId="0" fontId="0" fillId="0" borderId="11" xfId="0" applyFill="1" applyBorder="1" applyAlignment="1">
      <alignment wrapText="1"/>
    </xf>
    <xf numFmtId="0" fontId="0" fillId="0" borderId="11" xfId="0" applyNumberFormat="1" applyBorder="1"/>
    <xf numFmtId="0" fontId="2" fillId="0" borderId="0" xfId="0" applyFont="1" applyFill="1" applyBorder="1" applyAlignment="1">
      <alignment wrapText="1"/>
    </xf>
    <xf numFmtId="0" fontId="0" fillId="0" borderId="13" xfId="0" applyFill="1" applyBorder="1"/>
    <xf numFmtId="0" fontId="0" fillId="0" borderId="14" xfId="0" applyFill="1" applyBorder="1"/>
    <xf numFmtId="0" fontId="2" fillId="0" borderId="1" xfId="0" applyFont="1" applyFill="1" applyBorder="1" applyAlignment="1">
      <alignment wrapText="1"/>
    </xf>
    <xf numFmtId="0" fontId="2" fillId="0" borderId="0" xfId="0" applyFont="1" applyBorder="1"/>
    <xf numFmtId="0" fontId="2" fillId="0" borderId="1" xfId="0" applyFont="1" applyBorder="1"/>
    <xf numFmtId="0" fontId="0" fillId="0" borderId="18" xfId="0" applyFill="1" applyBorder="1"/>
    <xf numFmtId="0" fontId="0" fillId="0" borderId="0" xfId="0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NumberFormat="1" applyFill="1" applyBorder="1"/>
    <xf numFmtId="0" fontId="4" fillId="0" borderId="19" xfId="2" applyFill="1"/>
    <xf numFmtId="0" fontId="4" fillId="0" borderId="8" xfId="2" applyFill="1" applyBorder="1"/>
    <xf numFmtId="0" fontId="0" fillId="0" borderId="0" xfId="0" applyFill="1"/>
    <xf numFmtId="0" fontId="0" fillId="0" borderId="21" xfId="0" applyBorder="1"/>
    <xf numFmtId="0" fontId="1" fillId="2" borderId="21" xfId="1" applyFont="1" applyBorder="1"/>
    <xf numFmtId="0" fontId="1" fillId="2" borderId="21" xfId="1" applyFont="1" applyBorder="1" applyAlignment="1">
      <alignment wrapText="1"/>
    </xf>
    <xf numFmtId="0" fontId="1" fillId="2" borderId="21" xfId="1" applyFont="1" applyBorder="1" applyAlignment="1">
      <alignment horizontal="left" wrapText="1"/>
    </xf>
    <xf numFmtId="0" fontId="0" fillId="0" borderId="21" xfId="0" applyBorder="1" applyAlignment="1">
      <alignment horizontal="left" textRotation="90"/>
    </xf>
    <xf numFmtId="0" fontId="0" fillId="0" borderId="21" xfId="0" applyBorder="1" applyAlignment="1"/>
    <xf numFmtId="0" fontId="1" fillId="4" borderId="21" xfId="3" applyBorder="1"/>
    <xf numFmtId="0" fontId="0" fillId="0" borderId="11" xfId="0" applyBorder="1" applyAlignment="1">
      <alignment horizontal="center"/>
    </xf>
    <xf numFmtId="0" fontId="0" fillId="0" borderId="0" xfId="0" applyFont="1" applyBorder="1"/>
    <xf numFmtId="0" fontId="4" fillId="0" borderId="0" xfId="2" applyFill="1" applyBorder="1"/>
    <xf numFmtId="0" fontId="0" fillId="0" borderId="18" xfId="0" applyBorder="1"/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/>
    <xf numFmtId="0" fontId="6" fillId="0" borderId="1" xfId="0" applyFont="1" applyFill="1" applyBorder="1"/>
    <xf numFmtId="0" fontId="6" fillId="0" borderId="1" xfId="0" applyFont="1" applyBorder="1"/>
    <xf numFmtId="0" fontId="6" fillId="0" borderId="1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0" fillId="0" borderId="26" xfId="0" applyBorder="1"/>
    <xf numFmtId="0" fontId="0" fillId="0" borderId="26" xfId="0" applyBorder="1" applyAlignment="1">
      <alignment horizontal="center"/>
    </xf>
    <xf numFmtId="0" fontId="0" fillId="0" borderId="26" xfId="0" applyNumberFormat="1" applyBorder="1"/>
    <xf numFmtId="0" fontId="2" fillId="0" borderId="27" xfId="0" applyFont="1" applyBorder="1"/>
    <xf numFmtId="0" fontId="2" fillId="0" borderId="26" xfId="0" applyFont="1" applyBorder="1"/>
    <xf numFmtId="0" fontId="0" fillId="0" borderId="37" xfId="0" applyBorder="1"/>
    <xf numFmtId="0" fontId="2" fillId="0" borderId="0" xfId="0" applyFont="1"/>
    <xf numFmtId="0" fontId="0" fillId="0" borderId="11" xfId="0" applyNumberFormat="1" applyFill="1" applyBorder="1"/>
    <xf numFmtId="0" fontId="2" fillId="0" borderId="12" xfId="0" applyFont="1" applyFill="1" applyBorder="1"/>
    <xf numFmtId="0" fontId="2" fillId="0" borderId="8" xfId="0" applyFont="1" applyFill="1" applyBorder="1"/>
    <xf numFmtId="0" fontId="6" fillId="0" borderId="0" xfId="0" applyFont="1" applyBorder="1"/>
    <xf numFmtId="0" fontId="6" fillId="0" borderId="26" xfId="0" applyFont="1" applyBorder="1"/>
    <xf numFmtId="0" fontId="0" fillId="0" borderId="0" xfId="0" applyBorder="1" applyAlignment="1">
      <alignment horizontal="right"/>
    </xf>
    <xf numFmtId="0" fontId="2" fillId="0" borderId="9" xfId="0" applyFont="1" applyFill="1" applyBorder="1"/>
    <xf numFmtId="0" fontId="0" fillId="0" borderId="26" xfId="0" applyFill="1" applyBorder="1"/>
    <xf numFmtId="0" fontId="0" fillId="0" borderId="26" xfId="0" applyFill="1" applyBorder="1" applyAlignment="1">
      <alignment horizontal="center"/>
    </xf>
    <xf numFmtId="0" fontId="0" fillId="0" borderId="26" xfId="0" applyNumberFormat="1" applyFill="1" applyBorder="1"/>
    <xf numFmtId="0" fontId="2" fillId="0" borderId="27" xfId="0" applyFont="1" applyFill="1" applyBorder="1"/>
    <xf numFmtId="0" fontId="2" fillId="0" borderId="0" xfId="0" applyFont="1" applyFill="1" applyBorder="1"/>
    <xf numFmtId="0" fontId="0" fillId="0" borderId="33" xfId="0" applyFill="1" applyBorder="1"/>
    <xf numFmtId="0" fontId="0" fillId="0" borderId="33" xfId="0" applyFill="1" applyBorder="1" applyAlignment="1">
      <alignment horizontal="center"/>
    </xf>
    <xf numFmtId="0" fontId="2" fillId="0" borderId="33" xfId="0" applyFont="1" applyFill="1" applyBorder="1"/>
    <xf numFmtId="0" fontId="6" fillId="0" borderId="33" xfId="0" applyFont="1" applyFill="1" applyBorder="1"/>
    <xf numFmtId="0" fontId="2" fillId="0" borderId="34" xfId="0" applyFont="1" applyFill="1" applyBorder="1"/>
    <xf numFmtId="0" fontId="0" fillId="0" borderId="11" xfId="0" applyNumberFormat="1" applyFont="1" applyFill="1" applyBorder="1"/>
    <xf numFmtId="0" fontId="0" fillId="0" borderId="11" xfId="0" applyFont="1" applyFill="1" applyBorder="1"/>
    <xf numFmtId="0" fontId="0" fillId="0" borderId="1" xfId="0" applyNumberFormat="1" applyFill="1" applyBorder="1"/>
    <xf numFmtId="0" fontId="0" fillId="0" borderId="1" xfId="0" applyNumberFormat="1" applyFont="1" applyFill="1" applyBorder="1"/>
    <xf numFmtId="0" fontId="0" fillId="0" borderId="1" xfId="0" applyFont="1" applyFill="1" applyBorder="1"/>
    <xf numFmtId="0" fontId="0" fillId="0" borderId="35" xfId="0" applyFill="1" applyBorder="1"/>
    <xf numFmtId="0" fontId="0" fillId="0" borderId="0" xfId="0" applyNumberFormat="1" applyFill="1"/>
    <xf numFmtId="0" fontId="7" fillId="0" borderId="36" xfId="0" applyFont="1" applyFill="1" applyBorder="1"/>
    <xf numFmtId="0" fontId="0" fillId="0" borderId="8" xfId="0" applyFill="1" applyBorder="1"/>
    <xf numFmtId="0" fontId="0" fillId="0" borderId="3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32" xfId="0" applyFill="1" applyBorder="1" applyAlignment="1">
      <alignment horizontal="left" vertical="center" wrapText="1"/>
    </xf>
    <xf numFmtId="0" fontId="6" fillId="5" borderId="7" xfId="0" applyFont="1" applyFill="1" applyBorder="1" applyAlignment="1">
      <alignment horizontal="center" vertical="center"/>
    </xf>
    <xf numFmtId="0" fontId="6" fillId="5" borderId="24" xfId="0" applyFont="1" applyFill="1" applyBorder="1" applyAlignment="1">
      <alignment horizontal="center" vertical="center"/>
    </xf>
    <xf numFmtId="0" fontId="6" fillId="5" borderId="31" xfId="0" applyFont="1" applyFill="1" applyBorder="1" applyAlignment="1">
      <alignment horizontal="center" vertical="center"/>
    </xf>
    <xf numFmtId="0" fontId="0" fillId="0" borderId="28" xfId="0" applyBorder="1" applyAlignment="1">
      <alignment horizontal="left" vertical="center" wrapText="1"/>
    </xf>
    <xf numFmtId="0" fontId="2" fillId="5" borderId="10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25" xfId="0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5" borderId="6" xfId="0" applyFont="1" applyFill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6" fillId="0" borderId="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2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2" fillId="5" borderId="22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0" fontId="6" fillId="5" borderId="29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30" xfId="0" applyFont="1" applyFill="1" applyBorder="1" applyAlignment="1">
      <alignment horizontal="center" vertical="center"/>
    </xf>
  </cellXfs>
  <cellStyles count="4">
    <cellStyle name="Accent3" xfId="1" builtinId="37"/>
    <cellStyle name="Check Cell" xfId="3" builtinId="23"/>
    <cellStyle name="Input" xfId="2" builtinId="20"/>
    <cellStyle name="Normal" xfId="0" builtinId="0"/>
  </cellStyles>
  <dxfs count="4">
    <dxf>
      <font>
        <b/>
      </font>
      <border diagonalUp="0" diagonalDown="0" outline="0">
        <right style="medium">
          <color indexed="64"/>
        </right>
      </border>
    </dxf>
    <dxf>
      <numFmt numFmtId="0" formatCode="General"/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384587281371813E-2"/>
          <c:y val="4.1642638049628498E-2"/>
          <c:w val="0.91687656645464155"/>
          <c:h val="0.657488033450222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HLAVNÍ_VÝSLEDKY!$G$2:$V$2</c:f>
              <c:numCache>
                <c:formatCode>General</c:formatCode>
                <c:ptCount val="16"/>
                <c:pt idx="0">
                  <c:v>8</c:v>
                </c:pt>
                <c:pt idx="1">
                  <c:v>48</c:v>
                </c:pt>
                <c:pt idx="2">
                  <c:v>36</c:v>
                </c:pt>
                <c:pt idx="3">
                  <c:v>36</c:v>
                </c:pt>
                <c:pt idx="4">
                  <c:v>20</c:v>
                </c:pt>
                <c:pt idx="5">
                  <c:v>36</c:v>
                </c:pt>
                <c:pt idx="6">
                  <c:v>88</c:v>
                </c:pt>
                <c:pt idx="7">
                  <c:v>28</c:v>
                </c:pt>
                <c:pt idx="8">
                  <c:v>60</c:v>
                </c:pt>
                <c:pt idx="9">
                  <c:v>20</c:v>
                </c:pt>
                <c:pt idx="10">
                  <c:v>60</c:v>
                </c:pt>
                <c:pt idx="11">
                  <c:v>12</c:v>
                </c:pt>
                <c:pt idx="12">
                  <c:v>12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CB-4488-8E00-FE8FDF04BE3C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HLAVNÍ_VÝSLEDKY!$G$3:$V$3</c:f>
              <c:numCache>
                <c:formatCode>General</c:formatCode>
                <c:ptCount val="16"/>
                <c:pt idx="0">
                  <c:v>8</c:v>
                </c:pt>
                <c:pt idx="1">
                  <c:v>8</c:v>
                </c:pt>
                <c:pt idx="2">
                  <c:v>64</c:v>
                </c:pt>
                <c:pt idx="3">
                  <c:v>24</c:v>
                </c:pt>
                <c:pt idx="4">
                  <c:v>52</c:v>
                </c:pt>
                <c:pt idx="5">
                  <c:v>12</c:v>
                </c:pt>
                <c:pt idx="6">
                  <c:v>72</c:v>
                </c:pt>
                <c:pt idx="7">
                  <c:v>48</c:v>
                </c:pt>
                <c:pt idx="8">
                  <c:v>40</c:v>
                </c:pt>
                <c:pt idx="9">
                  <c:v>72</c:v>
                </c:pt>
                <c:pt idx="10">
                  <c:v>76</c:v>
                </c:pt>
                <c:pt idx="11">
                  <c:v>8</c:v>
                </c:pt>
                <c:pt idx="12">
                  <c:v>0</c:v>
                </c:pt>
                <c:pt idx="13">
                  <c:v>12</c:v>
                </c:pt>
                <c:pt idx="14">
                  <c:v>12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CB-4488-8E00-FE8FDF04BE3C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HLAVNÍ_VÝSLEDKY!$G$4:$V$4</c:f>
              <c:numCache>
                <c:formatCode>General</c:formatCode>
                <c:ptCount val="16"/>
                <c:pt idx="0">
                  <c:v>24</c:v>
                </c:pt>
                <c:pt idx="1">
                  <c:v>12</c:v>
                </c:pt>
                <c:pt idx="2">
                  <c:v>12</c:v>
                </c:pt>
                <c:pt idx="3">
                  <c:v>48</c:v>
                </c:pt>
                <c:pt idx="4">
                  <c:v>48</c:v>
                </c:pt>
                <c:pt idx="5">
                  <c:v>12</c:v>
                </c:pt>
                <c:pt idx="6">
                  <c:v>72</c:v>
                </c:pt>
                <c:pt idx="7">
                  <c:v>100</c:v>
                </c:pt>
                <c:pt idx="8">
                  <c:v>172</c:v>
                </c:pt>
                <c:pt idx="9">
                  <c:v>120</c:v>
                </c:pt>
                <c:pt idx="10">
                  <c:v>36</c:v>
                </c:pt>
                <c:pt idx="11">
                  <c:v>40</c:v>
                </c:pt>
                <c:pt idx="12">
                  <c:v>8</c:v>
                </c:pt>
                <c:pt idx="13">
                  <c:v>0</c:v>
                </c:pt>
                <c:pt idx="14">
                  <c:v>0</c:v>
                </c:pt>
                <c:pt idx="15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CB-4488-8E00-FE8FDF04BE3C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HLAVNÍ_VÝSLEDKY!$G$5:$V$5</c:f>
              <c:numCache>
                <c:formatCode>General</c:formatCode>
                <c:ptCount val="16"/>
                <c:pt idx="0">
                  <c:v>12</c:v>
                </c:pt>
                <c:pt idx="1">
                  <c:v>12</c:v>
                </c:pt>
                <c:pt idx="2">
                  <c:v>36</c:v>
                </c:pt>
                <c:pt idx="3">
                  <c:v>20</c:v>
                </c:pt>
                <c:pt idx="4">
                  <c:v>24</c:v>
                </c:pt>
                <c:pt idx="5">
                  <c:v>132</c:v>
                </c:pt>
                <c:pt idx="6">
                  <c:v>12</c:v>
                </c:pt>
                <c:pt idx="7">
                  <c:v>64</c:v>
                </c:pt>
                <c:pt idx="8">
                  <c:v>72</c:v>
                </c:pt>
                <c:pt idx="9">
                  <c:v>28</c:v>
                </c:pt>
                <c:pt idx="10">
                  <c:v>0</c:v>
                </c:pt>
                <c:pt idx="11">
                  <c:v>24</c:v>
                </c:pt>
                <c:pt idx="12">
                  <c:v>24</c:v>
                </c:pt>
                <c:pt idx="13">
                  <c:v>0</c:v>
                </c:pt>
                <c:pt idx="14">
                  <c:v>8</c:v>
                </c:pt>
                <c:pt idx="15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ECB-4488-8E00-FE8FDF04BE3C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HLAVNÍ_VÝSLEDKY!$G$6:$V$6</c:f>
              <c:numCache>
                <c:formatCode>General</c:formatCode>
                <c:ptCount val="16"/>
                <c:pt idx="0">
                  <c:v>180</c:v>
                </c:pt>
                <c:pt idx="1">
                  <c:v>216</c:v>
                </c:pt>
                <c:pt idx="2">
                  <c:v>288</c:v>
                </c:pt>
                <c:pt idx="3">
                  <c:v>408</c:v>
                </c:pt>
                <c:pt idx="4">
                  <c:v>412</c:v>
                </c:pt>
                <c:pt idx="5">
                  <c:v>432</c:v>
                </c:pt>
                <c:pt idx="6">
                  <c:v>504</c:v>
                </c:pt>
                <c:pt idx="7">
                  <c:v>760</c:v>
                </c:pt>
                <c:pt idx="8">
                  <c:v>544</c:v>
                </c:pt>
                <c:pt idx="9">
                  <c:v>388</c:v>
                </c:pt>
                <c:pt idx="10">
                  <c:v>372</c:v>
                </c:pt>
                <c:pt idx="11">
                  <c:v>208</c:v>
                </c:pt>
                <c:pt idx="12">
                  <c:v>264</c:v>
                </c:pt>
                <c:pt idx="13">
                  <c:v>64</c:v>
                </c:pt>
                <c:pt idx="14">
                  <c:v>60</c:v>
                </c:pt>
                <c:pt idx="15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ECB-4488-8E00-FE8FDF04BE3C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HLAVNÍ_VÝSLEDKY!$G$7:$V$7</c:f>
              <c:numCache>
                <c:formatCode>General</c:formatCode>
                <c:ptCount val="16"/>
                <c:pt idx="0">
                  <c:v>144</c:v>
                </c:pt>
                <c:pt idx="1">
                  <c:v>144</c:v>
                </c:pt>
                <c:pt idx="2">
                  <c:v>256</c:v>
                </c:pt>
                <c:pt idx="3">
                  <c:v>240</c:v>
                </c:pt>
                <c:pt idx="4">
                  <c:v>244</c:v>
                </c:pt>
                <c:pt idx="5">
                  <c:v>376</c:v>
                </c:pt>
                <c:pt idx="6">
                  <c:v>420</c:v>
                </c:pt>
                <c:pt idx="7">
                  <c:v>624</c:v>
                </c:pt>
                <c:pt idx="8">
                  <c:v>220</c:v>
                </c:pt>
                <c:pt idx="9">
                  <c:v>652</c:v>
                </c:pt>
                <c:pt idx="10">
                  <c:v>312</c:v>
                </c:pt>
                <c:pt idx="11">
                  <c:v>216</c:v>
                </c:pt>
                <c:pt idx="12">
                  <c:v>156</c:v>
                </c:pt>
                <c:pt idx="13">
                  <c:v>180</c:v>
                </c:pt>
                <c:pt idx="14">
                  <c:v>88</c:v>
                </c:pt>
                <c:pt idx="15">
                  <c:v>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ECB-4488-8E00-FE8FDF04BE3C}"/>
            </c:ext>
          </c:extLst>
        </c:ser>
        <c:ser>
          <c:idx val="6"/>
          <c:order val="6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HLAVNÍ_VÝSLEDKY!$G$8:$V$8</c:f>
              <c:numCache>
                <c:formatCode>General</c:formatCode>
                <c:ptCount val="16"/>
                <c:pt idx="0">
                  <c:v>20</c:v>
                </c:pt>
                <c:pt idx="1">
                  <c:v>20</c:v>
                </c:pt>
                <c:pt idx="2">
                  <c:v>100</c:v>
                </c:pt>
                <c:pt idx="3">
                  <c:v>44</c:v>
                </c:pt>
                <c:pt idx="4">
                  <c:v>76</c:v>
                </c:pt>
                <c:pt idx="5">
                  <c:v>144</c:v>
                </c:pt>
                <c:pt idx="6">
                  <c:v>84</c:v>
                </c:pt>
                <c:pt idx="7">
                  <c:v>112</c:v>
                </c:pt>
                <c:pt idx="8">
                  <c:v>112</c:v>
                </c:pt>
                <c:pt idx="9">
                  <c:v>100</c:v>
                </c:pt>
                <c:pt idx="10">
                  <c:v>76</c:v>
                </c:pt>
                <c:pt idx="11">
                  <c:v>32</c:v>
                </c:pt>
                <c:pt idx="12">
                  <c:v>24</c:v>
                </c:pt>
                <c:pt idx="13">
                  <c:v>12</c:v>
                </c:pt>
                <c:pt idx="14">
                  <c:v>20</c:v>
                </c:pt>
                <c:pt idx="15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ECB-4488-8E00-FE8FDF04BE3C}"/>
            </c:ext>
          </c:extLst>
        </c:ser>
        <c:ser>
          <c:idx val="7"/>
          <c:order val="7"/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HLAVNÍ_VÝSLEDKY!$G$9:$V$9</c:f>
              <c:numCache>
                <c:formatCode>General</c:formatCode>
                <c:ptCount val="16"/>
                <c:pt idx="0">
                  <c:v>188</c:v>
                </c:pt>
                <c:pt idx="1">
                  <c:v>264</c:v>
                </c:pt>
                <c:pt idx="2">
                  <c:v>324</c:v>
                </c:pt>
                <c:pt idx="3">
                  <c:v>444</c:v>
                </c:pt>
                <c:pt idx="4">
                  <c:v>432</c:v>
                </c:pt>
                <c:pt idx="5">
                  <c:v>468</c:v>
                </c:pt>
                <c:pt idx="6">
                  <c:v>592</c:v>
                </c:pt>
                <c:pt idx="7">
                  <c:v>788</c:v>
                </c:pt>
                <c:pt idx="8">
                  <c:v>604</c:v>
                </c:pt>
                <c:pt idx="9">
                  <c:v>408</c:v>
                </c:pt>
                <c:pt idx="10">
                  <c:v>432</c:v>
                </c:pt>
                <c:pt idx="11">
                  <c:v>220</c:v>
                </c:pt>
                <c:pt idx="12">
                  <c:v>276</c:v>
                </c:pt>
                <c:pt idx="13">
                  <c:v>64</c:v>
                </c:pt>
                <c:pt idx="14">
                  <c:v>60</c:v>
                </c:pt>
                <c:pt idx="15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ECB-4488-8E00-FE8FDF04BE3C}"/>
            </c:ext>
          </c:extLst>
        </c:ser>
        <c:ser>
          <c:idx val="8"/>
          <c:order val="8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HLAVNÍ_VÝSLEDKY!$G$10:$V$10</c:f>
              <c:numCache>
                <c:formatCode>General</c:formatCode>
                <c:ptCount val="16"/>
                <c:pt idx="0">
                  <c:v>168</c:v>
                </c:pt>
                <c:pt idx="1">
                  <c:v>156</c:v>
                </c:pt>
                <c:pt idx="2">
                  <c:v>268</c:v>
                </c:pt>
                <c:pt idx="3">
                  <c:v>288</c:v>
                </c:pt>
                <c:pt idx="4">
                  <c:v>292</c:v>
                </c:pt>
                <c:pt idx="5">
                  <c:v>388</c:v>
                </c:pt>
                <c:pt idx="6">
                  <c:v>492</c:v>
                </c:pt>
                <c:pt idx="7">
                  <c:v>724</c:v>
                </c:pt>
                <c:pt idx="8">
                  <c:v>392</c:v>
                </c:pt>
                <c:pt idx="9">
                  <c:v>772</c:v>
                </c:pt>
                <c:pt idx="10">
                  <c:v>348</c:v>
                </c:pt>
                <c:pt idx="11">
                  <c:v>256</c:v>
                </c:pt>
                <c:pt idx="12">
                  <c:v>164</c:v>
                </c:pt>
                <c:pt idx="13">
                  <c:v>180</c:v>
                </c:pt>
                <c:pt idx="14">
                  <c:v>88</c:v>
                </c:pt>
                <c:pt idx="15">
                  <c:v>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ECB-4488-8E00-FE8FDF04BE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8216096"/>
        <c:axId val="608207240"/>
      </c:barChart>
      <c:catAx>
        <c:axId val="608216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8207240"/>
        <c:crosses val="autoZero"/>
        <c:auto val="1"/>
        <c:lblAlgn val="ctr"/>
        <c:lblOffset val="100"/>
        <c:noMultiLvlLbl val="0"/>
      </c:catAx>
      <c:valAx>
        <c:axId val="608207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8216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HLAVNÍ_VÝSLEDKY!$G$74:$V$74</c:f>
              <c:numCache>
                <c:formatCode>General</c:formatCode>
                <c:ptCount val="16"/>
                <c:pt idx="0">
                  <c:v>28</c:v>
                </c:pt>
                <c:pt idx="1">
                  <c:v>24</c:v>
                </c:pt>
                <c:pt idx="2">
                  <c:v>24</c:v>
                </c:pt>
                <c:pt idx="3">
                  <c:v>20</c:v>
                </c:pt>
                <c:pt idx="4">
                  <c:v>36</c:v>
                </c:pt>
                <c:pt idx="5">
                  <c:v>48</c:v>
                </c:pt>
                <c:pt idx="6">
                  <c:v>32</c:v>
                </c:pt>
                <c:pt idx="7">
                  <c:v>36</c:v>
                </c:pt>
                <c:pt idx="8">
                  <c:v>24</c:v>
                </c:pt>
                <c:pt idx="9">
                  <c:v>8</c:v>
                </c:pt>
                <c:pt idx="10">
                  <c:v>20</c:v>
                </c:pt>
                <c:pt idx="11">
                  <c:v>0</c:v>
                </c:pt>
                <c:pt idx="12">
                  <c:v>20</c:v>
                </c:pt>
                <c:pt idx="13">
                  <c:v>28</c:v>
                </c:pt>
                <c:pt idx="14">
                  <c:v>20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EF-41B3-90C7-8D918B44D80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HLAVNÍ_VÝSLEDKY!$G$75:$V$75</c:f>
              <c:numCache>
                <c:formatCode>General</c:formatCode>
                <c:ptCount val="16"/>
                <c:pt idx="0">
                  <c:v>24</c:v>
                </c:pt>
                <c:pt idx="1">
                  <c:v>32</c:v>
                </c:pt>
                <c:pt idx="2">
                  <c:v>20</c:v>
                </c:pt>
                <c:pt idx="3">
                  <c:v>8</c:v>
                </c:pt>
                <c:pt idx="4">
                  <c:v>24</c:v>
                </c:pt>
                <c:pt idx="5">
                  <c:v>32</c:v>
                </c:pt>
                <c:pt idx="6">
                  <c:v>28</c:v>
                </c:pt>
                <c:pt idx="7">
                  <c:v>44</c:v>
                </c:pt>
                <c:pt idx="8">
                  <c:v>40</c:v>
                </c:pt>
                <c:pt idx="9">
                  <c:v>40</c:v>
                </c:pt>
                <c:pt idx="10">
                  <c:v>36</c:v>
                </c:pt>
                <c:pt idx="11">
                  <c:v>36</c:v>
                </c:pt>
                <c:pt idx="12">
                  <c:v>0</c:v>
                </c:pt>
                <c:pt idx="13">
                  <c:v>12</c:v>
                </c:pt>
                <c:pt idx="14">
                  <c:v>24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EF-41B3-90C7-8D918B44D80D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HLAVNÍ_VÝSLEDKY!$G$76:$V$76</c:f>
              <c:numCache>
                <c:formatCode>General</c:formatCode>
                <c:ptCount val="16"/>
                <c:pt idx="0">
                  <c:v>20</c:v>
                </c:pt>
                <c:pt idx="1">
                  <c:v>96</c:v>
                </c:pt>
                <c:pt idx="2">
                  <c:v>96</c:v>
                </c:pt>
                <c:pt idx="3">
                  <c:v>60</c:v>
                </c:pt>
                <c:pt idx="4">
                  <c:v>132</c:v>
                </c:pt>
                <c:pt idx="5">
                  <c:v>152</c:v>
                </c:pt>
                <c:pt idx="6">
                  <c:v>116</c:v>
                </c:pt>
                <c:pt idx="7">
                  <c:v>124</c:v>
                </c:pt>
                <c:pt idx="8">
                  <c:v>52</c:v>
                </c:pt>
                <c:pt idx="9">
                  <c:v>28</c:v>
                </c:pt>
                <c:pt idx="10">
                  <c:v>40</c:v>
                </c:pt>
                <c:pt idx="11">
                  <c:v>132</c:v>
                </c:pt>
                <c:pt idx="12">
                  <c:v>20</c:v>
                </c:pt>
                <c:pt idx="13">
                  <c:v>48</c:v>
                </c:pt>
                <c:pt idx="14">
                  <c:v>36</c:v>
                </c:pt>
                <c:pt idx="15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EF-41B3-90C7-8D918B44D80D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HLAVNÍ_VÝSLEDKY!$G$77:$V$77</c:f>
              <c:numCache>
                <c:formatCode>General</c:formatCode>
                <c:ptCount val="16"/>
                <c:pt idx="0">
                  <c:v>12</c:v>
                </c:pt>
                <c:pt idx="1">
                  <c:v>12</c:v>
                </c:pt>
                <c:pt idx="2">
                  <c:v>36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52</c:v>
                </c:pt>
                <c:pt idx="7">
                  <c:v>64</c:v>
                </c:pt>
                <c:pt idx="8">
                  <c:v>64</c:v>
                </c:pt>
                <c:pt idx="9">
                  <c:v>76</c:v>
                </c:pt>
                <c:pt idx="10">
                  <c:v>64</c:v>
                </c:pt>
                <c:pt idx="11">
                  <c:v>0</c:v>
                </c:pt>
                <c:pt idx="12">
                  <c:v>12</c:v>
                </c:pt>
                <c:pt idx="13">
                  <c:v>64</c:v>
                </c:pt>
                <c:pt idx="14">
                  <c:v>12</c:v>
                </c:pt>
                <c:pt idx="15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CEF-41B3-90C7-8D918B44D80D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HLAVNÍ_VÝSLEDKY!$G$78:$V$78</c:f>
              <c:numCache>
                <c:formatCode>General</c:formatCode>
                <c:ptCount val="16"/>
                <c:pt idx="0">
                  <c:v>216</c:v>
                </c:pt>
                <c:pt idx="1">
                  <c:v>588</c:v>
                </c:pt>
                <c:pt idx="2">
                  <c:v>948</c:v>
                </c:pt>
                <c:pt idx="3">
                  <c:v>1072</c:v>
                </c:pt>
                <c:pt idx="4">
                  <c:v>2388</c:v>
                </c:pt>
                <c:pt idx="5">
                  <c:v>2336</c:v>
                </c:pt>
                <c:pt idx="6">
                  <c:v>2032</c:v>
                </c:pt>
                <c:pt idx="7">
                  <c:v>2064</c:v>
                </c:pt>
                <c:pt idx="8">
                  <c:v>1836</c:v>
                </c:pt>
                <c:pt idx="9">
                  <c:v>1476</c:v>
                </c:pt>
                <c:pt idx="10">
                  <c:v>2760</c:v>
                </c:pt>
                <c:pt idx="11">
                  <c:v>3532</c:v>
                </c:pt>
                <c:pt idx="12">
                  <c:v>1164</c:v>
                </c:pt>
                <c:pt idx="13">
                  <c:v>1192</c:v>
                </c:pt>
                <c:pt idx="14">
                  <c:v>1128</c:v>
                </c:pt>
                <c:pt idx="15">
                  <c:v>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CEF-41B3-90C7-8D918B44D80D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HLAVNÍ_VÝSLEDKY!$G$79:$V$79</c:f>
              <c:numCache>
                <c:formatCode>General</c:formatCode>
                <c:ptCount val="16"/>
                <c:pt idx="0">
                  <c:v>124</c:v>
                </c:pt>
                <c:pt idx="1">
                  <c:v>420</c:v>
                </c:pt>
                <c:pt idx="2">
                  <c:v>1000</c:v>
                </c:pt>
                <c:pt idx="3">
                  <c:v>1728</c:v>
                </c:pt>
                <c:pt idx="4">
                  <c:v>2028</c:v>
                </c:pt>
                <c:pt idx="5">
                  <c:v>1996</c:v>
                </c:pt>
                <c:pt idx="6">
                  <c:v>1768</c:v>
                </c:pt>
                <c:pt idx="7">
                  <c:v>1888</c:v>
                </c:pt>
                <c:pt idx="8">
                  <c:v>2152</c:v>
                </c:pt>
                <c:pt idx="9">
                  <c:v>2272</c:v>
                </c:pt>
                <c:pt idx="10">
                  <c:v>1888</c:v>
                </c:pt>
                <c:pt idx="11">
                  <c:v>1636</c:v>
                </c:pt>
                <c:pt idx="12">
                  <c:v>1656</c:v>
                </c:pt>
                <c:pt idx="13">
                  <c:v>1344</c:v>
                </c:pt>
                <c:pt idx="14">
                  <c:v>1164</c:v>
                </c:pt>
                <c:pt idx="15">
                  <c:v>1068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CEF-41B3-90C7-8D918B44D80D}"/>
            </c:ext>
          </c:extLst>
        </c:ser>
        <c:ser>
          <c:idx val="6"/>
          <c:order val="6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HLAVNÍ_VÝSLEDKY!$G$80:$V$80</c:f>
              <c:numCache>
                <c:formatCode>General</c:formatCode>
                <c:ptCount val="16"/>
                <c:pt idx="0">
                  <c:v>152</c:v>
                </c:pt>
                <c:pt idx="1">
                  <c:v>444</c:v>
                </c:pt>
                <c:pt idx="2">
                  <c:v>1024</c:v>
                </c:pt>
                <c:pt idx="3">
                  <c:v>1748</c:v>
                </c:pt>
                <c:pt idx="4">
                  <c:v>2064</c:v>
                </c:pt>
                <c:pt idx="5">
                  <c:v>2044</c:v>
                </c:pt>
                <c:pt idx="6">
                  <c:v>1800</c:v>
                </c:pt>
                <c:pt idx="7">
                  <c:v>1924</c:v>
                </c:pt>
                <c:pt idx="8">
                  <c:v>2176</c:v>
                </c:pt>
                <c:pt idx="9">
                  <c:v>2280</c:v>
                </c:pt>
                <c:pt idx="10">
                  <c:v>1908</c:v>
                </c:pt>
                <c:pt idx="11">
                  <c:v>1636</c:v>
                </c:pt>
                <c:pt idx="12">
                  <c:v>1676</c:v>
                </c:pt>
                <c:pt idx="13">
                  <c:v>1372</c:v>
                </c:pt>
                <c:pt idx="14">
                  <c:v>1184</c:v>
                </c:pt>
                <c:pt idx="15">
                  <c:v>1068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CEF-41B3-90C7-8D918B44D80D}"/>
            </c:ext>
          </c:extLst>
        </c:ser>
        <c:ser>
          <c:idx val="7"/>
          <c:order val="7"/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HLAVNÍ_VÝSLEDKY!$G$81:$V$81</c:f>
              <c:numCache>
                <c:formatCode>General</c:formatCode>
                <c:ptCount val="16"/>
                <c:pt idx="0">
                  <c:v>236</c:v>
                </c:pt>
                <c:pt idx="1">
                  <c:v>684</c:v>
                </c:pt>
                <c:pt idx="2">
                  <c:v>1044</c:v>
                </c:pt>
                <c:pt idx="3">
                  <c:v>1132</c:v>
                </c:pt>
                <c:pt idx="4">
                  <c:v>2520</c:v>
                </c:pt>
                <c:pt idx="5">
                  <c:v>2488</c:v>
                </c:pt>
                <c:pt idx="6">
                  <c:v>2148</c:v>
                </c:pt>
                <c:pt idx="7">
                  <c:v>2188</c:v>
                </c:pt>
                <c:pt idx="8">
                  <c:v>1888</c:v>
                </c:pt>
                <c:pt idx="9">
                  <c:v>1504</c:v>
                </c:pt>
                <c:pt idx="10">
                  <c:v>2800</c:v>
                </c:pt>
                <c:pt idx="11">
                  <c:v>3664</c:v>
                </c:pt>
                <c:pt idx="12">
                  <c:v>1184</c:v>
                </c:pt>
                <c:pt idx="13">
                  <c:v>1240</c:v>
                </c:pt>
                <c:pt idx="14">
                  <c:v>1164</c:v>
                </c:pt>
                <c:pt idx="15">
                  <c:v>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CEF-41B3-90C7-8D918B44D80D}"/>
            </c:ext>
          </c:extLst>
        </c:ser>
        <c:ser>
          <c:idx val="8"/>
          <c:order val="8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HLAVNÍ_VÝSLEDKY!$G$82:$V$82</c:f>
              <c:numCache>
                <c:formatCode>General</c:formatCode>
                <c:ptCount val="16"/>
                <c:pt idx="0">
                  <c:v>36</c:v>
                </c:pt>
                <c:pt idx="1">
                  <c:v>44</c:v>
                </c:pt>
                <c:pt idx="2">
                  <c:v>56</c:v>
                </c:pt>
                <c:pt idx="3">
                  <c:v>44</c:v>
                </c:pt>
                <c:pt idx="4">
                  <c:v>72</c:v>
                </c:pt>
                <c:pt idx="5">
                  <c:v>92</c:v>
                </c:pt>
                <c:pt idx="6">
                  <c:v>80</c:v>
                </c:pt>
                <c:pt idx="7">
                  <c:v>108</c:v>
                </c:pt>
                <c:pt idx="8">
                  <c:v>104</c:v>
                </c:pt>
                <c:pt idx="9">
                  <c:v>116</c:v>
                </c:pt>
                <c:pt idx="10">
                  <c:v>100</c:v>
                </c:pt>
                <c:pt idx="11">
                  <c:v>36</c:v>
                </c:pt>
                <c:pt idx="12">
                  <c:v>12</c:v>
                </c:pt>
                <c:pt idx="13">
                  <c:v>76</c:v>
                </c:pt>
                <c:pt idx="14">
                  <c:v>36</c:v>
                </c:pt>
                <c:pt idx="15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CEF-41B3-90C7-8D918B44D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6770848"/>
        <c:axId val="656770192"/>
      </c:barChart>
      <c:catAx>
        <c:axId val="656770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6770192"/>
        <c:crosses val="autoZero"/>
        <c:auto val="1"/>
        <c:lblAlgn val="ctr"/>
        <c:lblOffset val="100"/>
        <c:noMultiLvlLbl val="0"/>
      </c:catAx>
      <c:valAx>
        <c:axId val="656770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6770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HLAVNÍ_VÝSLEDKY!$G$83:$V$83</c:f>
              <c:numCache>
                <c:formatCode>General</c:formatCode>
                <c:ptCount val="16"/>
                <c:pt idx="0">
                  <c:v>12</c:v>
                </c:pt>
                <c:pt idx="1">
                  <c:v>48</c:v>
                </c:pt>
                <c:pt idx="2">
                  <c:v>84</c:v>
                </c:pt>
                <c:pt idx="3">
                  <c:v>144</c:v>
                </c:pt>
                <c:pt idx="4">
                  <c:v>136</c:v>
                </c:pt>
                <c:pt idx="5">
                  <c:v>164</c:v>
                </c:pt>
                <c:pt idx="6">
                  <c:v>76</c:v>
                </c:pt>
                <c:pt idx="7">
                  <c:v>264</c:v>
                </c:pt>
                <c:pt idx="8">
                  <c:v>108</c:v>
                </c:pt>
                <c:pt idx="9">
                  <c:v>96</c:v>
                </c:pt>
                <c:pt idx="10">
                  <c:v>172</c:v>
                </c:pt>
                <c:pt idx="11">
                  <c:v>144</c:v>
                </c:pt>
                <c:pt idx="12">
                  <c:v>52</c:v>
                </c:pt>
                <c:pt idx="13">
                  <c:v>52</c:v>
                </c:pt>
                <c:pt idx="14">
                  <c:v>108</c:v>
                </c:pt>
                <c:pt idx="15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77-4C35-8C50-8AE41A48CE5A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HLAVNÍ_VÝSLEDKY!$G$84:$V$84</c:f>
              <c:numCache>
                <c:formatCode>General</c:formatCode>
                <c:ptCount val="16"/>
                <c:pt idx="0">
                  <c:v>28</c:v>
                </c:pt>
                <c:pt idx="1">
                  <c:v>56</c:v>
                </c:pt>
                <c:pt idx="2">
                  <c:v>84</c:v>
                </c:pt>
                <c:pt idx="3">
                  <c:v>84</c:v>
                </c:pt>
                <c:pt idx="4">
                  <c:v>192</c:v>
                </c:pt>
                <c:pt idx="5">
                  <c:v>212</c:v>
                </c:pt>
                <c:pt idx="6">
                  <c:v>324</c:v>
                </c:pt>
                <c:pt idx="7">
                  <c:v>268</c:v>
                </c:pt>
                <c:pt idx="8">
                  <c:v>156</c:v>
                </c:pt>
                <c:pt idx="9">
                  <c:v>152</c:v>
                </c:pt>
                <c:pt idx="10">
                  <c:v>204</c:v>
                </c:pt>
                <c:pt idx="11">
                  <c:v>160</c:v>
                </c:pt>
                <c:pt idx="12">
                  <c:v>112</c:v>
                </c:pt>
                <c:pt idx="13">
                  <c:v>240</c:v>
                </c:pt>
                <c:pt idx="14">
                  <c:v>60</c:v>
                </c:pt>
                <c:pt idx="15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77-4C35-8C50-8AE41A48CE5A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HLAVNÍ_VÝSLEDKY!$G$85:$V$85</c:f>
              <c:numCache>
                <c:formatCode>General</c:formatCode>
                <c:ptCount val="16"/>
                <c:pt idx="0">
                  <c:v>36</c:v>
                </c:pt>
                <c:pt idx="1">
                  <c:v>36</c:v>
                </c:pt>
                <c:pt idx="2">
                  <c:v>96</c:v>
                </c:pt>
                <c:pt idx="3">
                  <c:v>48</c:v>
                </c:pt>
                <c:pt idx="4">
                  <c:v>96</c:v>
                </c:pt>
                <c:pt idx="5">
                  <c:v>128</c:v>
                </c:pt>
                <c:pt idx="6">
                  <c:v>180</c:v>
                </c:pt>
                <c:pt idx="7">
                  <c:v>112</c:v>
                </c:pt>
                <c:pt idx="8">
                  <c:v>64</c:v>
                </c:pt>
                <c:pt idx="9">
                  <c:v>68</c:v>
                </c:pt>
                <c:pt idx="10">
                  <c:v>180</c:v>
                </c:pt>
                <c:pt idx="11">
                  <c:v>76</c:v>
                </c:pt>
                <c:pt idx="12">
                  <c:v>76</c:v>
                </c:pt>
                <c:pt idx="13">
                  <c:v>72</c:v>
                </c:pt>
                <c:pt idx="14">
                  <c:v>64</c:v>
                </c:pt>
                <c:pt idx="15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77-4C35-8C50-8AE41A48CE5A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HLAVNÍ_VÝSLEDKY!$G$86:$V$86</c:f>
              <c:numCache>
                <c:formatCode>General</c:formatCode>
                <c:ptCount val="16"/>
                <c:pt idx="0">
                  <c:v>76</c:v>
                </c:pt>
                <c:pt idx="1">
                  <c:v>84</c:v>
                </c:pt>
                <c:pt idx="2">
                  <c:v>112</c:v>
                </c:pt>
                <c:pt idx="3">
                  <c:v>160</c:v>
                </c:pt>
                <c:pt idx="4">
                  <c:v>120</c:v>
                </c:pt>
                <c:pt idx="5">
                  <c:v>144</c:v>
                </c:pt>
                <c:pt idx="6">
                  <c:v>60</c:v>
                </c:pt>
                <c:pt idx="7">
                  <c:v>204</c:v>
                </c:pt>
                <c:pt idx="8">
                  <c:v>136</c:v>
                </c:pt>
                <c:pt idx="9">
                  <c:v>144</c:v>
                </c:pt>
                <c:pt idx="10">
                  <c:v>108</c:v>
                </c:pt>
                <c:pt idx="11">
                  <c:v>120</c:v>
                </c:pt>
                <c:pt idx="12">
                  <c:v>220</c:v>
                </c:pt>
                <c:pt idx="13">
                  <c:v>156</c:v>
                </c:pt>
                <c:pt idx="14">
                  <c:v>24</c:v>
                </c:pt>
                <c:pt idx="15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477-4C35-8C50-8AE41A48CE5A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HLAVNÍ_VÝSLEDKY!$G$87:$V$87</c:f>
              <c:numCache>
                <c:formatCode>General</c:formatCode>
                <c:ptCount val="16"/>
                <c:pt idx="0">
                  <c:v>244</c:v>
                </c:pt>
                <c:pt idx="1">
                  <c:v>324</c:v>
                </c:pt>
                <c:pt idx="2">
                  <c:v>528</c:v>
                </c:pt>
                <c:pt idx="3">
                  <c:v>768</c:v>
                </c:pt>
                <c:pt idx="4">
                  <c:v>1224</c:v>
                </c:pt>
                <c:pt idx="5">
                  <c:v>1476</c:v>
                </c:pt>
                <c:pt idx="6">
                  <c:v>1744</c:v>
                </c:pt>
                <c:pt idx="7">
                  <c:v>1320</c:v>
                </c:pt>
                <c:pt idx="8">
                  <c:v>1360</c:v>
                </c:pt>
                <c:pt idx="9">
                  <c:v>1444</c:v>
                </c:pt>
                <c:pt idx="10">
                  <c:v>2668</c:v>
                </c:pt>
                <c:pt idx="11">
                  <c:v>3280</c:v>
                </c:pt>
                <c:pt idx="12">
                  <c:v>1752</c:v>
                </c:pt>
                <c:pt idx="13">
                  <c:v>892</c:v>
                </c:pt>
                <c:pt idx="14">
                  <c:v>1240</c:v>
                </c:pt>
                <c:pt idx="15">
                  <c:v>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477-4C35-8C50-8AE41A48CE5A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HLAVNÍ_VÝSLEDKY!$G$88:$V$88</c:f>
              <c:numCache>
                <c:formatCode>General</c:formatCode>
                <c:ptCount val="16"/>
                <c:pt idx="0">
                  <c:v>168</c:v>
                </c:pt>
                <c:pt idx="1">
                  <c:v>496</c:v>
                </c:pt>
                <c:pt idx="2">
                  <c:v>1008</c:v>
                </c:pt>
                <c:pt idx="3">
                  <c:v>1548</c:v>
                </c:pt>
                <c:pt idx="4">
                  <c:v>2092</c:v>
                </c:pt>
                <c:pt idx="5">
                  <c:v>2164</c:v>
                </c:pt>
                <c:pt idx="6">
                  <c:v>1956</c:v>
                </c:pt>
                <c:pt idx="7">
                  <c:v>1356</c:v>
                </c:pt>
                <c:pt idx="8">
                  <c:v>1228</c:v>
                </c:pt>
                <c:pt idx="9">
                  <c:v>1284</c:v>
                </c:pt>
                <c:pt idx="10">
                  <c:v>1416</c:v>
                </c:pt>
                <c:pt idx="11">
                  <c:v>1272</c:v>
                </c:pt>
                <c:pt idx="12">
                  <c:v>2176</c:v>
                </c:pt>
                <c:pt idx="13">
                  <c:v>960</c:v>
                </c:pt>
                <c:pt idx="14">
                  <c:v>1008</c:v>
                </c:pt>
                <c:pt idx="15">
                  <c:v>1200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477-4C35-8C50-8AE41A48CE5A}"/>
            </c:ext>
          </c:extLst>
        </c:ser>
        <c:ser>
          <c:idx val="6"/>
          <c:order val="6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HLAVNÍ_VÝSLEDKY!$G$89:$V$89</c:f>
              <c:numCache>
                <c:formatCode>General</c:formatCode>
                <c:ptCount val="16"/>
                <c:pt idx="0">
                  <c:v>180</c:v>
                </c:pt>
                <c:pt idx="1">
                  <c:v>544</c:v>
                </c:pt>
                <c:pt idx="2">
                  <c:v>1092</c:v>
                </c:pt>
                <c:pt idx="3">
                  <c:v>1692</c:v>
                </c:pt>
                <c:pt idx="4">
                  <c:v>2228</c:v>
                </c:pt>
                <c:pt idx="5">
                  <c:v>2328</c:v>
                </c:pt>
                <c:pt idx="6">
                  <c:v>2032</c:v>
                </c:pt>
                <c:pt idx="7">
                  <c:v>1620</c:v>
                </c:pt>
                <c:pt idx="8">
                  <c:v>1336</c:v>
                </c:pt>
                <c:pt idx="9">
                  <c:v>1380</c:v>
                </c:pt>
                <c:pt idx="10">
                  <c:v>1588</c:v>
                </c:pt>
                <c:pt idx="11">
                  <c:v>1416</c:v>
                </c:pt>
                <c:pt idx="12">
                  <c:v>2228</c:v>
                </c:pt>
                <c:pt idx="13">
                  <c:v>1012</c:v>
                </c:pt>
                <c:pt idx="14">
                  <c:v>1116</c:v>
                </c:pt>
                <c:pt idx="15">
                  <c:v>1248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477-4C35-8C50-8AE41A48CE5A}"/>
            </c:ext>
          </c:extLst>
        </c:ser>
        <c:ser>
          <c:idx val="7"/>
          <c:order val="7"/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HLAVNÍ_VÝSLEDKY!$G$90:$V$90</c:f>
              <c:numCache>
                <c:formatCode>General</c:formatCode>
                <c:ptCount val="16"/>
                <c:pt idx="0">
                  <c:v>280</c:v>
                </c:pt>
                <c:pt idx="1">
                  <c:v>360</c:v>
                </c:pt>
                <c:pt idx="2">
                  <c:v>624</c:v>
                </c:pt>
                <c:pt idx="3">
                  <c:v>816</c:v>
                </c:pt>
                <c:pt idx="4">
                  <c:v>1320</c:v>
                </c:pt>
                <c:pt idx="5">
                  <c:v>1604</c:v>
                </c:pt>
                <c:pt idx="6">
                  <c:v>1924</c:v>
                </c:pt>
                <c:pt idx="7">
                  <c:v>1432</c:v>
                </c:pt>
                <c:pt idx="8">
                  <c:v>1424</c:v>
                </c:pt>
                <c:pt idx="9">
                  <c:v>1512</c:v>
                </c:pt>
                <c:pt idx="10">
                  <c:v>2848</c:v>
                </c:pt>
                <c:pt idx="11">
                  <c:v>3356</c:v>
                </c:pt>
                <c:pt idx="12">
                  <c:v>1828</c:v>
                </c:pt>
                <c:pt idx="13">
                  <c:v>964</c:v>
                </c:pt>
                <c:pt idx="14">
                  <c:v>1304</c:v>
                </c:pt>
                <c:pt idx="15">
                  <c:v>780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477-4C35-8C50-8AE41A48CE5A}"/>
            </c:ext>
          </c:extLst>
        </c:ser>
        <c:ser>
          <c:idx val="8"/>
          <c:order val="8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HLAVNÍ_VÝSLEDKY!$G$91:$V$91</c:f>
              <c:numCache>
                <c:formatCode>General</c:formatCode>
                <c:ptCount val="16"/>
                <c:pt idx="0">
                  <c:v>104</c:v>
                </c:pt>
                <c:pt idx="1">
                  <c:v>140</c:v>
                </c:pt>
                <c:pt idx="2">
                  <c:v>196</c:v>
                </c:pt>
                <c:pt idx="3">
                  <c:v>244</c:v>
                </c:pt>
                <c:pt idx="4">
                  <c:v>312</c:v>
                </c:pt>
                <c:pt idx="5">
                  <c:v>356</c:v>
                </c:pt>
                <c:pt idx="6">
                  <c:v>384</c:v>
                </c:pt>
                <c:pt idx="7">
                  <c:v>472</c:v>
                </c:pt>
                <c:pt idx="8">
                  <c:v>292</c:v>
                </c:pt>
                <c:pt idx="9">
                  <c:v>296</c:v>
                </c:pt>
                <c:pt idx="10">
                  <c:v>312</c:v>
                </c:pt>
                <c:pt idx="11">
                  <c:v>280</c:v>
                </c:pt>
                <c:pt idx="12">
                  <c:v>332</c:v>
                </c:pt>
                <c:pt idx="13">
                  <c:v>396</c:v>
                </c:pt>
                <c:pt idx="14">
                  <c:v>84</c:v>
                </c:pt>
                <c:pt idx="15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477-4C35-8C50-8AE41A48CE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9004056"/>
        <c:axId val="609011600"/>
      </c:barChart>
      <c:catAx>
        <c:axId val="609004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9011600"/>
        <c:crosses val="autoZero"/>
        <c:auto val="1"/>
        <c:lblAlgn val="ctr"/>
        <c:lblOffset val="100"/>
        <c:noMultiLvlLbl val="0"/>
      </c:catAx>
      <c:valAx>
        <c:axId val="609011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9004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HLAVNÍ_VÝSLEDKY!$G$92:$V$92</c:f>
              <c:numCache>
                <c:formatCode>General</c:formatCode>
                <c:ptCount val="16"/>
                <c:pt idx="0">
                  <c:v>8</c:v>
                </c:pt>
                <c:pt idx="1">
                  <c:v>76</c:v>
                </c:pt>
                <c:pt idx="2">
                  <c:v>132</c:v>
                </c:pt>
                <c:pt idx="3">
                  <c:v>196</c:v>
                </c:pt>
                <c:pt idx="4">
                  <c:v>148</c:v>
                </c:pt>
                <c:pt idx="5">
                  <c:v>140</c:v>
                </c:pt>
                <c:pt idx="6">
                  <c:v>396</c:v>
                </c:pt>
                <c:pt idx="7">
                  <c:v>264</c:v>
                </c:pt>
                <c:pt idx="8">
                  <c:v>220</c:v>
                </c:pt>
                <c:pt idx="9">
                  <c:v>136</c:v>
                </c:pt>
                <c:pt idx="10">
                  <c:v>148</c:v>
                </c:pt>
                <c:pt idx="11">
                  <c:v>128</c:v>
                </c:pt>
                <c:pt idx="12">
                  <c:v>124</c:v>
                </c:pt>
                <c:pt idx="13">
                  <c:v>196</c:v>
                </c:pt>
                <c:pt idx="14">
                  <c:v>52</c:v>
                </c:pt>
                <c:pt idx="15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37-4B3B-BD81-269A6F3F831E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HLAVNÍ_VÝSLEDKY!$G$93:$V$93</c:f>
              <c:numCache>
                <c:formatCode>General</c:formatCode>
                <c:ptCount val="16"/>
                <c:pt idx="0">
                  <c:v>12</c:v>
                </c:pt>
                <c:pt idx="1">
                  <c:v>48</c:v>
                </c:pt>
                <c:pt idx="2">
                  <c:v>108</c:v>
                </c:pt>
                <c:pt idx="3">
                  <c:v>48</c:v>
                </c:pt>
                <c:pt idx="4">
                  <c:v>120</c:v>
                </c:pt>
                <c:pt idx="5">
                  <c:v>108</c:v>
                </c:pt>
                <c:pt idx="6">
                  <c:v>72</c:v>
                </c:pt>
                <c:pt idx="7">
                  <c:v>100</c:v>
                </c:pt>
                <c:pt idx="8">
                  <c:v>108</c:v>
                </c:pt>
                <c:pt idx="9">
                  <c:v>96</c:v>
                </c:pt>
                <c:pt idx="10">
                  <c:v>84</c:v>
                </c:pt>
                <c:pt idx="11">
                  <c:v>92</c:v>
                </c:pt>
                <c:pt idx="12">
                  <c:v>84</c:v>
                </c:pt>
                <c:pt idx="13">
                  <c:v>12</c:v>
                </c:pt>
                <c:pt idx="14">
                  <c:v>24</c:v>
                </c:pt>
                <c:pt idx="15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37-4B3B-BD81-269A6F3F831E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HLAVNÍ_VÝSLEDKY!$G$94:$V$94</c:f>
              <c:numCache>
                <c:formatCode>General</c:formatCode>
                <c:ptCount val="16"/>
                <c:pt idx="0">
                  <c:v>232</c:v>
                </c:pt>
                <c:pt idx="1">
                  <c:v>372</c:v>
                </c:pt>
                <c:pt idx="2">
                  <c:v>612</c:v>
                </c:pt>
                <c:pt idx="3">
                  <c:v>1740</c:v>
                </c:pt>
                <c:pt idx="4">
                  <c:v>2496</c:v>
                </c:pt>
                <c:pt idx="5">
                  <c:v>2316</c:v>
                </c:pt>
                <c:pt idx="6">
                  <c:v>2164</c:v>
                </c:pt>
                <c:pt idx="7">
                  <c:v>3592</c:v>
                </c:pt>
                <c:pt idx="8">
                  <c:v>1348</c:v>
                </c:pt>
                <c:pt idx="9">
                  <c:v>2448</c:v>
                </c:pt>
                <c:pt idx="10">
                  <c:v>1404</c:v>
                </c:pt>
                <c:pt idx="11">
                  <c:v>1608</c:v>
                </c:pt>
                <c:pt idx="12">
                  <c:v>2268</c:v>
                </c:pt>
                <c:pt idx="13">
                  <c:v>1120</c:v>
                </c:pt>
                <c:pt idx="14">
                  <c:v>1060</c:v>
                </c:pt>
                <c:pt idx="15">
                  <c:v>1320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37-4B3B-BD81-269A6F3F831E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HLAVNÍ_VÝSLEDKY!$G$95:$V$95</c:f>
              <c:numCache>
                <c:formatCode>General</c:formatCode>
                <c:ptCount val="16"/>
                <c:pt idx="0">
                  <c:v>160</c:v>
                </c:pt>
                <c:pt idx="1">
                  <c:v>376</c:v>
                </c:pt>
                <c:pt idx="2">
                  <c:v>340</c:v>
                </c:pt>
                <c:pt idx="3">
                  <c:v>640</c:v>
                </c:pt>
                <c:pt idx="4">
                  <c:v>1548</c:v>
                </c:pt>
                <c:pt idx="5">
                  <c:v>1448</c:v>
                </c:pt>
                <c:pt idx="6">
                  <c:v>1980</c:v>
                </c:pt>
                <c:pt idx="7">
                  <c:v>1896</c:v>
                </c:pt>
                <c:pt idx="8">
                  <c:v>2328</c:v>
                </c:pt>
                <c:pt idx="9">
                  <c:v>2952</c:v>
                </c:pt>
                <c:pt idx="10">
                  <c:v>2272</c:v>
                </c:pt>
                <c:pt idx="11">
                  <c:v>2048</c:v>
                </c:pt>
                <c:pt idx="12">
                  <c:v>1560</c:v>
                </c:pt>
                <c:pt idx="13">
                  <c:v>1156</c:v>
                </c:pt>
                <c:pt idx="14">
                  <c:v>1416</c:v>
                </c:pt>
                <c:pt idx="15">
                  <c:v>1572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37-4B3B-BD81-269A6F3F831E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HLAVNÍ_VÝSLEDKY!$G$96:$V$96</c:f>
              <c:numCache>
                <c:formatCode>General</c:formatCode>
                <c:ptCount val="16"/>
                <c:pt idx="0">
                  <c:v>52</c:v>
                </c:pt>
                <c:pt idx="1">
                  <c:v>36</c:v>
                </c:pt>
                <c:pt idx="2">
                  <c:v>64</c:v>
                </c:pt>
                <c:pt idx="3">
                  <c:v>112</c:v>
                </c:pt>
                <c:pt idx="4">
                  <c:v>192</c:v>
                </c:pt>
                <c:pt idx="5">
                  <c:v>176</c:v>
                </c:pt>
                <c:pt idx="6">
                  <c:v>108</c:v>
                </c:pt>
                <c:pt idx="7">
                  <c:v>64</c:v>
                </c:pt>
                <c:pt idx="8">
                  <c:v>96</c:v>
                </c:pt>
                <c:pt idx="9">
                  <c:v>264</c:v>
                </c:pt>
                <c:pt idx="10">
                  <c:v>100</c:v>
                </c:pt>
                <c:pt idx="11">
                  <c:v>108</c:v>
                </c:pt>
                <c:pt idx="12">
                  <c:v>136</c:v>
                </c:pt>
                <c:pt idx="13">
                  <c:v>112</c:v>
                </c:pt>
                <c:pt idx="14">
                  <c:v>24</c:v>
                </c:pt>
                <c:pt idx="15">
                  <c:v>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D37-4B3B-BD81-269A6F3F831E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HLAVNÍ_VÝSLEDKY!$G$97:$V$97</c:f>
              <c:numCache>
                <c:formatCode>General</c:formatCode>
                <c:ptCount val="16"/>
                <c:pt idx="0">
                  <c:v>40</c:v>
                </c:pt>
                <c:pt idx="1">
                  <c:v>24</c:v>
                </c:pt>
                <c:pt idx="2">
                  <c:v>228</c:v>
                </c:pt>
                <c:pt idx="3">
                  <c:v>144</c:v>
                </c:pt>
                <c:pt idx="4">
                  <c:v>144</c:v>
                </c:pt>
                <c:pt idx="5">
                  <c:v>160</c:v>
                </c:pt>
                <c:pt idx="6">
                  <c:v>400</c:v>
                </c:pt>
                <c:pt idx="7">
                  <c:v>276</c:v>
                </c:pt>
                <c:pt idx="8">
                  <c:v>144</c:v>
                </c:pt>
                <c:pt idx="9">
                  <c:v>292</c:v>
                </c:pt>
                <c:pt idx="10">
                  <c:v>184</c:v>
                </c:pt>
                <c:pt idx="11">
                  <c:v>204</c:v>
                </c:pt>
                <c:pt idx="12">
                  <c:v>192</c:v>
                </c:pt>
                <c:pt idx="13">
                  <c:v>196</c:v>
                </c:pt>
                <c:pt idx="14">
                  <c:v>72</c:v>
                </c:pt>
                <c:pt idx="15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D37-4B3B-BD81-269A6F3F831E}"/>
            </c:ext>
          </c:extLst>
        </c:ser>
        <c:ser>
          <c:idx val="6"/>
          <c:order val="6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HLAVNÍ_VÝSLEDKY!$G$98:$V$98</c:f>
              <c:numCache>
                <c:formatCode>General</c:formatCode>
                <c:ptCount val="16"/>
                <c:pt idx="0">
                  <c:v>64</c:v>
                </c:pt>
                <c:pt idx="1">
                  <c:v>84</c:v>
                </c:pt>
                <c:pt idx="2">
                  <c:v>172</c:v>
                </c:pt>
                <c:pt idx="3">
                  <c:v>160</c:v>
                </c:pt>
                <c:pt idx="4">
                  <c:v>312</c:v>
                </c:pt>
                <c:pt idx="5">
                  <c:v>284</c:v>
                </c:pt>
                <c:pt idx="6">
                  <c:v>180</c:v>
                </c:pt>
                <c:pt idx="7">
                  <c:v>164</c:v>
                </c:pt>
                <c:pt idx="8">
                  <c:v>204</c:v>
                </c:pt>
                <c:pt idx="9">
                  <c:v>360</c:v>
                </c:pt>
                <c:pt idx="10">
                  <c:v>184</c:v>
                </c:pt>
                <c:pt idx="11">
                  <c:v>200</c:v>
                </c:pt>
                <c:pt idx="12">
                  <c:v>220</c:v>
                </c:pt>
                <c:pt idx="13">
                  <c:v>124</c:v>
                </c:pt>
                <c:pt idx="14">
                  <c:v>48</c:v>
                </c:pt>
                <c:pt idx="15">
                  <c:v>220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D37-4B3B-BD81-269A6F3F831E}"/>
            </c:ext>
          </c:extLst>
        </c:ser>
        <c:ser>
          <c:idx val="7"/>
          <c:order val="7"/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HLAVNÍ_VÝSLEDKY!$G$99:$V$99</c:f>
              <c:numCache>
                <c:formatCode>General</c:formatCode>
                <c:ptCount val="16"/>
                <c:pt idx="0">
                  <c:v>240</c:v>
                </c:pt>
                <c:pt idx="1">
                  <c:v>448</c:v>
                </c:pt>
                <c:pt idx="2">
                  <c:v>744</c:v>
                </c:pt>
                <c:pt idx="3">
                  <c:v>1936</c:v>
                </c:pt>
                <c:pt idx="4">
                  <c:v>2644</c:v>
                </c:pt>
                <c:pt idx="5">
                  <c:v>2456</c:v>
                </c:pt>
                <c:pt idx="6">
                  <c:v>2560</c:v>
                </c:pt>
                <c:pt idx="7">
                  <c:v>3856</c:v>
                </c:pt>
                <c:pt idx="8">
                  <c:v>1568</c:v>
                </c:pt>
                <c:pt idx="9">
                  <c:v>2584</c:v>
                </c:pt>
                <c:pt idx="10">
                  <c:v>1552</c:v>
                </c:pt>
                <c:pt idx="11">
                  <c:v>1736</c:v>
                </c:pt>
                <c:pt idx="12">
                  <c:v>2392</c:v>
                </c:pt>
                <c:pt idx="13">
                  <c:v>1316</c:v>
                </c:pt>
                <c:pt idx="14">
                  <c:v>1112</c:v>
                </c:pt>
                <c:pt idx="15">
                  <c:v>1348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D37-4B3B-BD81-269A6F3F831E}"/>
            </c:ext>
          </c:extLst>
        </c:ser>
        <c:ser>
          <c:idx val="8"/>
          <c:order val="8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HLAVNÍ_VÝSLEDKY!$G$100:$V$100</c:f>
              <c:numCache>
                <c:formatCode>General</c:formatCode>
                <c:ptCount val="16"/>
                <c:pt idx="0">
                  <c:v>200</c:v>
                </c:pt>
                <c:pt idx="1">
                  <c:v>400</c:v>
                </c:pt>
                <c:pt idx="2">
                  <c:v>568</c:v>
                </c:pt>
                <c:pt idx="3">
                  <c:v>784</c:v>
                </c:pt>
                <c:pt idx="4">
                  <c:v>1692</c:v>
                </c:pt>
                <c:pt idx="5">
                  <c:v>1608</c:v>
                </c:pt>
                <c:pt idx="6">
                  <c:v>2380</c:v>
                </c:pt>
                <c:pt idx="7">
                  <c:v>2172</c:v>
                </c:pt>
                <c:pt idx="8">
                  <c:v>2472</c:v>
                </c:pt>
                <c:pt idx="9">
                  <c:v>3244</c:v>
                </c:pt>
                <c:pt idx="10">
                  <c:v>2456</c:v>
                </c:pt>
                <c:pt idx="11">
                  <c:v>2252</c:v>
                </c:pt>
                <c:pt idx="12">
                  <c:v>1752</c:v>
                </c:pt>
                <c:pt idx="13">
                  <c:v>1352</c:v>
                </c:pt>
                <c:pt idx="14">
                  <c:v>1488</c:v>
                </c:pt>
                <c:pt idx="15">
                  <c:v>1656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D37-4B3B-BD81-269A6F3F8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6605240"/>
        <c:axId val="646605896"/>
      </c:barChart>
      <c:catAx>
        <c:axId val="646605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6605896"/>
        <c:crosses val="autoZero"/>
        <c:auto val="1"/>
        <c:lblAlgn val="ctr"/>
        <c:lblOffset val="100"/>
        <c:noMultiLvlLbl val="0"/>
      </c:catAx>
      <c:valAx>
        <c:axId val="64660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6605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133028679322162E-2"/>
          <c:y val="0.18308398950131233"/>
          <c:w val="0.91587931662874267"/>
          <c:h val="0.633832020997375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HLAVNÍ_VÝSLEDKY!$G$101:$V$101</c:f>
              <c:numCache>
                <c:formatCode>General</c:formatCode>
                <c:ptCount val="16"/>
                <c:pt idx="0">
                  <c:v>76</c:v>
                </c:pt>
                <c:pt idx="1">
                  <c:v>108</c:v>
                </c:pt>
                <c:pt idx="2">
                  <c:v>132</c:v>
                </c:pt>
                <c:pt idx="3">
                  <c:v>940</c:v>
                </c:pt>
                <c:pt idx="4">
                  <c:v>1512</c:v>
                </c:pt>
                <c:pt idx="5">
                  <c:v>992</c:v>
                </c:pt>
                <c:pt idx="6">
                  <c:v>1188</c:v>
                </c:pt>
                <c:pt idx="7">
                  <c:v>2368</c:v>
                </c:pt>
                <c:pt idx="8">
                  <c:v>852</c:v>
                </c:pt>
                <c:pt idx="9">
                  <c:v>960</c:v>
                </c:pt>
                <c:pt idx="10">
                  <c:v>952</c:v>
                </c:pt>
                <c:pt idx="11">
                  <c:v>1788</c:v>
                </c:pt>
                <c:pt idx="12">
                  <c:v>1116</c:v>
                </c:pt>
                <c:pt idx="13">
                  <c:v>676</c:v>
                </c:pt>
                <c:pt idx="14">
                  <c:v>660</c:v>
                </c:pt>
                <c:pt idx="15">
                  <c:v>556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D1-4D34-8C81-92A5407CF6B0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HLAVNÍ_VÝSLEDKY!$G$102:$V$102</c:f>
              <c:numCache>
                <c:formatCode>General</c:formatCode>
                <c:ptCount val="16"/>
                <c:pt idx="0">
                  <c:v>72</c:v>
                </c:pt>
                <c:pt idx="1">
                  <c:v>76</c:v>
                </c:pt>
                <c:pt idx="2">
                  <c:v>84</c:v>
                </c:pt>
                <c:pt idx="3">
                  <c:v>484</c:v>
                </c:pt>
                <c:pt idx="4">
                  <c:v>436</c:v>
                </c:pt>
                <c:pt idx="5">
                  <c:v>500</c:v>
                </c:pt>
                <c:pt idx="6">
                  <c:v>556</c:v>
                </c:pt>
                <c:pt idx="7">
                  <c:v>732</c:v>
                </c:pt>
                <c:pt idx="8">
                  <c:v>1092</c:v>
                </c:pt>
                <c:pt idx="9">
                  <c:v>472</c:v>
                </c:pt>
                <c:pt idx="10">
                  <c:v>408</c:v>
                </c:pt>
                <c:pt idx="11">
                  <c:v>532</c:v>
                </c:pt>
                <c:pt idx="12">
                  <c:v>472</c:v>
                </c:pt>
                <c:pt idx="13">
                  <c:v>348</c:v>
                </c:pt>
                <c:pt idx="14">
                  <c:v>364</c:v>
                </c:pt>
                <c:pt idx="15">
                  <c:v>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D1-4D34-8C81-92A5407CF6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2869632"/>
        <c:axId val="642867336"/>
      </c:barChart>
      <c:catAx>
        <c:axId val="6428696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42867336"/>
        <c:crosses val="autoZero"/>
        <c:auto val="1"/>
        <c:lblAlgn val="ctr"/>
        <c:lblOffset val="100"/>
        <c:noMultiLvlLbl val="0"/>
      </c:catAx>
      <c:valAx>
        <c:axId val="642867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2869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133028679322162E-2"/>
          <c:y val="0.18308398950131233"/>
          <c:w val="0.91587931662874267"/>
          <c:h val="0.63333333333333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HLAVNÍ_VÝSLEDKY!$G$103:$V$103</c:f>
              <c:numCache>
                <c:formatCode>General</c:formatCode>
                <c:ptCount val="16"/>
                <c:pt idx="0">
                  <c:v>180</c:v>
                </c:pt>
                <c:pt idx="1">
                  <c:v>400</c:v>
                </c:pt>
                <c:pt idx="2">
                  <c:v>448</c:v>
                </c:pt>
                <c:pt idx="3">
                  <c:v>812</c:v>
                </c:pt>
                <c:pt idx="4">
                  <c:v>1204</c:v>
                </c:pt>
                <c:pt idx="5">
                  <c:v>1176</c:v>
                </c:pt>
                <c:pt idx="6">
                  <c:v>1332</c:v>
                </c:pt>
                <c:pt idx="7">
                  <c:v>1444</c:v>
                </c:pt>
                <c:pt idx="8">
                  <c:v>1512</c:v>
                </c:pt>
                <c:pt idx="9">
                  <c:v>1060</c:v>
                </c:pt>
                <c:pt idx="10">
                  <c:v>1288</c:v>
                </c:pt>
                <c:pt idx="11">
                  <c:v>1380</c:v>
                </c:pt>
                <c:pt idx="12">
                  <c:v>1456</c:v>
                </c:pt>
                <c:pt idx="13">
                  <c:v>1212</c:v>
                </c:pt>
                <c:pt idx="14">
                  <c:v>1284</c:v>
                </c:pt>
                <c:pt idx="15">
                  <c:v>864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9D-4BEB-A9C0-A03159EC5FE0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HLAVNÍ_VÝSLEDKY!$G$104:$V$104</c:f>
              <c:numCache>
                <c:formatCode>General</c:formatCode>
                <c:ptCount val="16"/>
                <c:pt idx="0">
                  <c:v>64</c:v>
                </c:pt>
                <c:pt idx="1">
                  <c:v>180</c:v>
                </c:pt>
                <c:pt idx="2">
                  <c:v>244</c:v>
                </c:pt>
                <c:pt idx="3">
                  <c:v>592</c:v>
                </c:pt>
                <c:pt idx="4">
                  <c:v>912</c:v>
                </c:pt>
                <c:pt idx="5">
                  <c:v>476</c:v>
                </c:pt>
                <c:pt idx="6">
                  <c:v>1048</c:v>
                </c:pt>
                <c:pt idx="7">
                  <c:v>1008</c:v>
                </c:pt>
                <c:pt idx="8">
                  <c:v>1176</c:v>
                </c:pt>
                <c:pt idx="9">
                  <c:v>1288</c:v>
                </c:pt>
                <c:pt idx="10">
                  <c:v>672</c:v>
                </c:pt>
                <c:pt idx="11">
                  <c:v>1252</c:v>
                </c:pt>
                <c:pt idx="12">
                  <c:v>328</c:v>
                </c:pt>
                <c:pt idx="13">
                  <c:v>996</c:v>
                </c:pt>
                <c:pt idx="14">
                  <c:v>904</c:v>
                </c:pt>
                <c:pt idx="15">
                  <c:v>1560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9D-4BEB-A9C0-A03159EC5F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2862744"/>
        <c:axId val="642859792"/>
      </c:barChart>
      <c:catAx>
        <c:axId val="6428627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42859792"/>
        <c:crosses val="autoZero"/>
        <c:auto val="1"/>
        <c:lblAlgn val="ctr"/>
        <c:lblOffset val="100"/>
        <c:noMultiLvlLbl val="0"/>
      </c:catAx>
      <c:valAx>
        <c:axId val="642859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2862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HLAVNÍ_VÝSLEDKY!$G$105:$V$105</c:f>
              <c:numCache>
                <c:formatCode>General</c:formatCode>
                <c:ptCount val="16"/>
                <c:pt idx="0">
                  <c:v>128</c:v>
                </c:pt>
                <c:pt idx="1">
                  <c:v>248</c:v>
                </c:pt>
                <c:pt idx="2">
                  <c:v>128</c:v>
                </c:pt>
                <c:pt idx="3">
                  <c:v>436</c:v>
                </c:pt>
                <c:pt idx="4">
                  <c:v>488</c:v>
                </c:pt>
                <c:pt idx="5">
                  <c:v>448</c:v>
                </c:pt>
                <c:pt idx="6">
                  <c:v>732</c:v>
                </c:pt>
                <c:pt idx="7">
                  <c:v>768</c:v>
                </c:pt>
                <c:pt idx="8">
                  <c:v>872</c:v>
                </c:pt>
                <c:pt idx="9">
                  <c:v>712</c:v>
                </c:pt>
                <c:pt idx="10">
                  <c:v>652</c:v>
                </c:pt>
                <c:pt idx="11">
                  <c:v>632</c:v>
                </c:pt>
                <c:pt idx="12">
                  <c:v>1064</c:v>
                </c:pt>
                <c:pt idx="13">
                  <c:v>792</c:v>
                </c:pt>
                <c:pt idx="14">
                  <c:v>648</c:v>
                </c:pt>
                <c:pt idx="15">
                  <c:v>724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8A-46E9-BAFA-0E776256BB2F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HLAVNÍ_VÝSLEDKY!$G$106:$V$106</c:f>
              <c:numCache>
                <c:formatCode>General</c:formatCode>
                <c:ptCount val="16"/>
                <c:pt idx="0">
                  <c:v>52</c:v>
                </c:pt>
                <c:pt idx="1">
                  <c:v>208</c:v>
                </c:pt>
                <c:pt idx="2">
                  <c:v>252</c:v>
                </c:pt>
                <c:pt idx="3">
                  <c:v>364</c:v>
                </c:pt>
                <c:pt idx="4">
                  <c:v>640</c:v>
                </c:pt>
                <c:pt idx="5">
                  <c:v>632</c:v>
                </c:pt>
                <c:pt idx="6">
                  <c:v>784</c:v>
                </c:pt>
                <c:pt idx="7">
                  <c:v>848</c:v>
                </c:pt>
                <c:pt idx="8">
                  <c:v>732</c:v>
                </c:pt>
                <c:pt idx="9">
                  <c:v>804</c:v>
                </c:pt>
                <c:pt idx="10">
                  <c:v>608</c:v>
                </c:pt>
                <c:pt idx="11">
                  <c:v>436</c:v>
                </c:pt>
                <c:pt idx="12">
                  <c:v>660</c:v>
                </c:pt>
                <c:pt idx="13">
                  <c:v>768</c:v>
                </c:pt>
                <c:pt idx="14">
                  <c:v>836</c:v>
                </c:pt>
                <c:pt idx="15">
                  <c:v>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8A-46E9-BAFA-0E776256BB2F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HLAVNÍ_VÝSLEDKY!$G$107:$V$107</c:f>
              <c:numCache>
                <c:formatCode>General</c:formatCode>
                <c:ptCount val="16"/>
                <c:pt idx="0">
                  <c:v>36</c:v>
                </c:pt>
                <c:pt idx="1">
                  <c:v>0</c:v>
                </c:pt>
                <c:pt idx="2">
                  <c:v>40</c:v>
                </c:pt>
                <c:pt idx="3">
                  <c:v>20</c:v>
                </c:pt>
                <c:pt idx="4">
                  <c:v>28</c:v>
                </c:pt>
                <c:pt idx="5">
                  <c:v>32</c:v>
                </c:pt>
                <c:pt idx="6">
                  <c:v>36</c:v>
                </c:pt>
                <c:pt idx="7">
                  <c:v>48</c:v>
                </c:pt>
                <c:pt idx="8">
                  <c:v>48</c:v>
                </c:pt>
                <c:pt idx="9">
                  <c:v>48</c:v>
                </c:pt>
                <c:pt idx="10">
                  <c:v>52</c:v>
                </c:pt>
                <c:pt idx="11">
                  <c:v>72</c:v>
                </c:pt>
                <c:pt idx="12">
                  <c:v>80</c:v>
                </c:pt>
                <c:pt idx="13">
                  <c:v>68</c:v>
                </c:pt>
                <c:pt idx="14">
                  <c:v>64</c:v>
                </c:pt>
                <c:pt idx="15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8A-46E9-BAFA-0E776256BB2F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HLAVNÍ_VÝSLEDKY!$G$108:$V$108</c:f>
              <c:numCache>
                <c:formatCode>General</c:formatCode>
                <c:ptCount val="16"/>
                <c:pt idx="0">
                  <c:v>88</c:v>
                </c:pt>
                <c:pt idx="1">
                  <c:v>24</c:v>
                </c:pt>
                <c:pt idx="2">
                  <c:v>48</c:v>
                </c:pt>
                <c:pt idx="3">
                  <c:v>8</c:v>
                </c:pt>
                <c:pt idx="4">
                  <c:v>36</c:v>
                </c:pt>
                <c:pt idx="5">
                  <c:v>60</c:v>
                </c:pt>
                <c:pt idx="6">
                  <c:v>96</c:v>
                </c:pt>
                <c:pt idx="7">
                  <c:v>100</c:v>
                </c:pt>
                <c:pt idx="8">
                  <c:v>76</c:v>
                </c:pt>
                <c:pt idx="9">
                  <c:v>156</c:v>
                </c:pt>
                <c:pt idx="10">
                  <c:v>72</c:v>
                </c:pt>
                <c:pt idx="11">
                  <c:v>168</c:v>
                </c:pt>
                <c:pt idx="12">
                  <c:v>124</c:v>
                </c:pt>
                <c:pt idx="13">
                  <c:v>96</c:v>
                </c:pt>
                <c:pt idx="14">
                  <c:v>76</c:v>
                </c:pt>
                <c:pt idx="15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08A-46E9-BAFA-0E776256BB2F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HLAVNÍ_VÝSLEDKY!$G$109:$V$109</c:f>
              <c:numCache>
                <c:formatCode>General</c:formatCode>
                <c:ptCount val="16"/>
                <c:pt idx="0">
                  <c:v>12</c:v>
                </c:pt>
                <c:pt idx="1">
                  <c:v>132</c:v>
                </c:pt>
                <c:pt idx="2">
                  <c:v>100</c:v>
                </c:pt>
                <c:pt idx="3">
                  <c:v>196</c:v>
                </c:pt>
                <c:pt idx="4">
                  <c:v>252</c:v>
                </c:pt>
                <c:pt idx="5">
                  <c:v>152</c:v>
                </c:pt>
                <c:pt idx="6">
                  <c:v>168</c:v>
                </c:pt>
                <c:pt idx="7">
                  <c:v>196</c:v>
                </c:pt>
                <c:pt idx="8">
                  <c:v>264</c:v>
                </c:pt>
                <c:pt idx="9">
                  <c:v>180</c:v>
                </c:pt>
                <c:pt idx="10">
                  <c:v>384</c:v>
                </c:pt>
                <c:pt idx="11">
                  <c:v>228</c:v>
                </c:pt>
                <c:pt idx="12">
                  <c:v>264</c:v>
                </c:pt>
                <c:pt idx="13">
                  <c:v>208</c:v>
                </c:pt>
                <c:pt idx="14">
                  <c:v>232</c:v>
                </c:pt>
                <c:pt idx="15">
                  <c:v>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08A-46E9-BAFA-0E776256BB2F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HLAVNÍ_VÝSLEDKY!$G$110:$V$110</c:f>
              <c:numCache>
                <c:formatCode>General</c:formatCode>
                <c:ptCount val="16"/>
                <c:pt idx="0">
                  <c:v>0</c:v>
                </c:pt>
                <c:pt idx="1">
                  <c:v>28</c:v>
                </c:pt>
                <c:pt idx="2">
                  <c:v>72</c:v>
                </c:pt>
                <c:pt idx="3">
                  <c:v>140</c:v>
                </c:pt>
                <c:pt idx="4">
                  <c:v>208</c:v>
                </c:pt>
                <c:pt idx="5">
                  <c:v>264</c:v>
                </c:pt>
                <c:pt idx="6">
                  <c:v>436</c:v>
                </c:pt>
                <c:pt idx="7">
                  <c:v>168</c:v>
                </c:pt>
                <c:pt idx="8">
                  <c:v>424</c:v>
                </c:pt>
                <c:pt idx="9">
                  <c:v>216</c:v>
                </c:pt>
                <c:pt idx="10">
                  <c:v>180</c:v>
                </c:pt>
                <c:pt idx="11">
                  <c:v>132</c:v>
                </c:pt>
                <c:pt idx="12">
                  <c:v>160</c:v>
                </c:pt>
                <c:pt idx="13">
                  <c:v>176</c:v>
                </c:pt>
                <c:pt idx="14">
                  <c:v>196</c:v>
                </c:pt>
                <c:pt idx="15">
                  <c:v>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08A-46E9-BAFA-0E776256BB2F}"/>
            </c:ext>
          </c:extLst>
        </c:ser>
        <c:ser>
          <c:idx val="6"/>
          <c:order val="6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HLAVNÍ_VÝSLEDKY!$G$111:$V$111</c:f>
              <c:numCache>
                <c:formatCode>General</c:formatCode>
                <c:ptCount val="16"/>
                <c:pt idx="0">
                  <c:v>176</c:v>
                </c:pt>
                <c:pt idx="1">
                  <c:v>380</c:v>
                </c:pt>
                <c:pt idx="2">
                  <c:v>268</c:v>
                </c:pt>
                <c:pt idx="3">
                  <c:v>652</c:v>
                </c:pt>
                <c:pt idx="4">
                  <c:v>768</c:v>
                </c:pt>
                <c:pt idx="5">
                  <c:v>632</c:v>
                </c:pt>
                <c:pt idx="6">
                  <c:v>936</c:v>
                </c:pt>
                <c:pt idx="7">
                  <c:v>1012</c:v>
                </c:pt>
                <c:pt idx="8">
                  <c:v>1184</c:v>
                </c:pt>
                <c:pt idx="9">
                  <c:v>940</c:v>
                </c:pt>
                <c:pt idx="10">
                  <c:v>1088</c:v>
                </c:pt>
                <c:pt idx="11">
                  <c:v>932</c:v>
                </c:pt>
                <c:pt idx="12">
                  <c:v>1408</c:v>
                </c:pt>
                <c:pt idx="13">
                  <c:v>1068</c:v>
                </c:pt>
                <c:pt idx="14">
                  <c:v>944</c:v>
                </c:pt>
                <c:pt idx="15">
                  <c:v>1104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08A-46E9-BAFA-0E776256BB2F}"/>
            </c:ext>
          </c:extLst>
        </c:ser>
        <c:ser>
          <c:idx val="7"/>
          <c:order val="7"/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HLAVNÍ_VÝSLEDKY!$G$112:$V$112</c:f>
              <c:numCache>
                <c:formatCode>General</c:formatCode>
                <c:ptCount val="16"/>
                <c:pt idx="0">
                  <c:v>140</c:v>
                </c:pt>
                <c:pt idx="1">
                  <c:v>260</c:v>
                </c:pt>
                <c:pt idx="2">
                  <c:v>372</c:v>
                </c:pt>
                <c:pt idx="3">
                  <c:v>512</c:v>
                </c:pt>
                <c:pt idx="4">
                  <c:v>884</c:v>
                </c:pt>
                <c:pt idx="5">
                  <c:v>956</c:v>
                </c:pt>
                <c:pt idx="6">
                  <c:v>1316</c:v>
                </c:pt>
                <c:pt idx="7">
                  <c:v>1116</c:v>
                </c:pt>
                <c:pt idx="8">
                  <c:v>1232</c:v>
                </c:pt>
                <c:pt idx="9">
                  <c:v>1176</c:v>
                </c:pt>
                <c:pt idx="10">
                  <c:v>860</c:v>
                </c:pt>
                <c:pt idx="11">
                  <c:v>736</c:v>
                </c:pt>
                <c:pt idx="12">
                  <c:v>944</c:v>
                </c:pt>
                <c:pt idx="13">
                  <c:v>1040</c:v>
                </c:pt>
                <c:pt idx="14">
                  <c:v>1108</c:v>
                </c:pt>
                <c:pt idx="15">
                  <c:v>1348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08A-46E9-BAFA-0E776256BB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5315104"/>
        <c:axId val="665312808"/>
      </c:barChart>
      <c:catAx>
        <c:axId val="665315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5312808"/>
        <c:crosses val="autoZero"/>
        <c:auto val="1"/>
        <c:lblAlgn val="ctr"/>
        <c:lblOffset val="100"/>
        <c:noMultiLvlLbl val="0"/>
      </c:catAx>
      <c:valAx>
        <c:axId val="665312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5315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133028679322162E-2"/>
          <c:y val="0.18308398950131233"/>
          <c:w val="0.91587931662874267"/>
          <c:h val="0.633832020997375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HLAVNÍ_VÝSLEDKY!$G$113:$V$113</c:f>
              <c:numCache>
                <c:formatCode>General</c:formatCode>
                <c:ptCount val="16"/>
                <c:pt idx="0">
                  <c:v>256</c:v>
                </c:pt>
                <c:pt idx="1">
                  <c:v>312</c:v>
                </c:pt>
                <c:pt idx="2">
                  <c:v>492</c:v>
                </c:pt>
                <c:pt idx="3">
                  <c:v>1356</c:v>
                </c:pt>
                <c:pt idx="4">
                  <c:v>1632</c:v>
                </c:pt>
                <c:pt idx="5">
                  <c:v>1072</c:v>
                </c:pt>
                <c:pt idx="6">
                  <c:v>1576</c:v>
                </c:pt>
                <c:pt idx="7">
                  <c:v>1504</c:v>
                </c:pt>
                <c:pt idx="8">
                  <c:v>1204</c:v>
                </c:pt>
                <c:pt idx="9">
                  <c:v>1700</c:v>
                </c:pt>
                <c:pt idx="10">
                  <c:v>1848</c:v>
                </c:pt>
                <c:pt idx="11">
                  <c:v>1424</c:v>
                </c:pt>
                <c:pt idx="12">
                  <c:v>1300</c:v>
                </c:pt>
                <c:pt idx="13">
                  <c:v>1136</c:v>
                </c:pt>
                <c:pt idx="14">
                  <c:v>1072</c:v>
                </c:pt>
                <c:pt idx="15">
                  <c:v>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BF-4303-B6B4-49DB58E35ED2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HLAVNÍ_VÝSLEDKY!$G$114:$V$114</c:f>
              <c:numCache>
                <c:formatCode>General</c:formatCode>
                <c:ptCount val="16"/>
                <c:pt idx="0">
                  <c:v>108</c:v>
                </c:pt>
                <c:pt idx="1">
                  <c:v>396</c:v>
                </c:pt>
                <c:pt idx="2">
                  <c:v>356</c:v>
                </c:pt>
                <c:pt idx="3">
                  <c:v>1396</c:v>
                </c:pt>
                <c:pt idx="4">
                  <c:v>2016</c:v>
                </c:pt>
                <c:pt idx="5">
                  <c:v>3204</c:v>
                </c:pt>
                <c:pt idx="6">
                  <c:v>2356</c:v>
                </c:pt>
                <c:pt idx="7">
                  <c:v>2160</c:v>
                </c:pt>
                <c:pt idx="8">
                  <c:v>1964</c:v>
                </c:pt>
                <c:pt idx="9">
                  <c:v>2492</c:v>
                </c:pt>
                <c:pt idx="10">
                  <c:v>1988</c:v>
                </c:pt>
                <c:pt idx="11">
                  <c:v>1612</c:v>
                </c:pt>
                <c:pt idx="12">
                  <c:v>1936</c:v>
                </c:pt>
                <c:pt idx="13">
                  <c:v>1988</c:v>
                </c:pt>
                <c:pt idx="14">
                  <c:v>2288</c:v>
                </c:pt>
                <c:pt idx="15">
                  <c:v>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BF-4303-B6B4-49DB58E35E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8245872"/>
        <c:axId val="668251448"/>
      </c:barChart>
      <c:catAx>
        <c:axId val="6682458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68251448"/>
        <c:crosses val="autoZero"/>
        <c:auto val="1"/>
        <c:lblAlgn val="ctr"/>
        <c:lblOffset val="100"/>
        <c:noMultiLvlLbl val="0"/>
      </c:catAx>
      <c:valAx>
        <c:axId val="668251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8245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133028679322162E-2"/>
          <c:y val="9.166666666666666E-2"/>
          <c:w val="0.91587931662874267"/>
          <c:h val="0.577636482939632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HLAVNÍ_VÝSLEDKY!$G$115:$V$115</c:f>
              <c:numCache>
                <c:formatCode>General</c:formatCode>
                <c:ptCount val="16"/>
                <c:pt idx="0">
                  <c:v>36</c:v>
                </c:pt>
                <c:pt idx="1">
                  <c:v>96</c:v>
                </c:pt>
                <c:pt idx="2">
                  <c:v>60</c:v>
                </c:pt>
                <c:pt idx="3">
                  <c:v>40</c:v>
                </c:pt>
                <c:pt idx="4">
                  <c:v>228</c:v>
                </c:pt>
                <c:pt idx="5">
                  <c:v>140</c:v>
                </c:pt>
                <c:pt idx="6">
                  <c:v>100</c:v>
                </c:pt>
                <c:pt idx="7">
                  <c:v>136</c:v>
                </c:pt>
                <c:pt idx="8">
                  <c:v>60</c:v>
                </c:pt>
                <c:pt idx="9">
                  <c:v>132</c:v>
                </c:pt>
                <c:pt idx="10">
                  <c:v>208</c:v>
                </c:pt>
                <c:pt idx="11">
                  <c:v>172</c:v>
                </c:pt>
                <c:pt idx="12">
                  <c:v>144</c:v>
                </c:pt>
                <c:pt idx="13">
                  <c:v>168</c:v>
                </c:pt>
                <c:pt idx="14">
                  <c:v>132</c:v>
                </c:pt>
                <c:pt idx="15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78-4781-9A3F-14F1C878D5A8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HLAVNÍ_VÝSLEDKY!$G$116:$V$116</c:f>
              <c:numCache>
                <c:formatCode>General</c:formatCode>
                <c:ptCount val="16"/>
                <c:pt idx="0">
                  <c:v>48</c:v>
                </c:pt>
                <c:pt idx="1">
                  <c:v>112</c:v>
                </c:pt>
                <c:pt idx="2">
                  <c:v>12</c:v>
                </c:pt>
                <c:pt idx="3">
                  <c:v>36</c:v>
                </c:pt>
                <c:pt idx="4">
                  <c:v>96</c:v>
                </c:pt>
                <c:pt idx="5">
                  <c:v>100</c:v>
                </c:pt>
                <c:pt idx="6">
                  <c:v>124</c:v>
                </c:pt>
                <c:pt idx="7">
                  <c:v>64</c:v>
                </c:pt>
                <c:pt idx="8">
                  <c:v>20</c:v>
                </c:pt>
                <c:pt idx="9">
                  <c:v>156</c:v>
                </c:pt>
                <c:pt idx="10">
                  <c:v>132</c:v>
                </c:pt>
                <c:pt idx="11">
                  <c:v>112</c:v>
                </c:pt>
                <c:pt idx="12">
                  <c:v>116</c:v>
                </c:pt>
                <c:pt idx="13">
                  <c:v>46</c:v>
                </c:pt>
                <c:pt idx="14">
                  <c:v>180</c:v>
                </c:pt>
                <c:pt idx="15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78-4781-9A3F-14F1C878D5A8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HLAVNÍ_VÝSLEDKY!$G$117:$V$117</c:f>
              <c:numCache>
                <c:formatCode>General</c:formatCode>
                <c:ptCount val="16"/>
                <c:pt idx="0">
                  <c:v>20</c:v>
                </c:pt>
                <c:pt idx="1">
                  <c:v>72</c:v>
                </c:pt>
                <c:pt idx="2">
                  <c:v>52</c:v>
                </c:pt>
                <c:pt idx="3">
                  <c:v>96</c:v>
                </c:pt>
                <c:pt idx="4">
                  <c:v>220</c:v>
                </c:pt>
                <c:pt idx="5">
                  <c:v>112</c:v>
                </c:pt>
                <c:pt idx="6">
                  <c:v>72</c:v>
                </c:pt>
                <c:pt idx="7">
                  <c:v>76</c:v>
                </c:pt>
                <c:pt idx="8">
                  <c:v>112</c:v>
                </c:pt>
                <c:pt idx="9">
                  <c:v>84</c:v>
                </c:pt>
                <c:pt idx="10">
                  <c:v>76</c:v>
                </c:pt>
                <c:pt idx="11">
                  <c:v>232</c:v>
                </c:pt>
                <c:pt idx="12">
                  <c:v>152</c:v>
                </c:pt>
                <c:pt idx="13">
                  <c:v>104</c:v>
                </c:pt>
                <c:pt idx="14">
                  <c:v>84</c:v>
                </c:pt>
                <c:pt idx="15">
                  <c:v>280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78-4781-9A3F-14F1C878D5A8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HLAVNÍ_VÝSLEDKY!$G$118:$V$118</c:f>
              <c:numCache>
                <c:formatCode>General</c:formatCode>
                <c:ptCount val="16"/>
                <c:pt idx="0">
                  <c:v>24</c:v>
                </c:pt>
                <c:pt idx="1">
                  <c:v>36</c:v>
                </c:pt>
                <c:pt idx="2">
                  <c:v>112</c:v>
                </c:pt>
                <c:pt idx="3">
                  <c:v>76</c:v>
                </c:pt>
                <c:pt idx="4">
                  <c:v>132</c:v>
                </c:pt>
                <c:pt idx="5">
                  <c:v>144</c:v>
                </c:pt>
                <c:pt idx="6">
                  <c:v>108</c:v>
                </c:pt>
                <c:pt idx="7">
                  <c:v>72</c:v>
                </c:pt>
                <c:pt idx="8">
                  <c:v>88</c:v>
                </c:pt>
                <c:pt idx="9">
                  <c:v>136</c:v>
                </c:pt>
                <c:pt idx="10">
                  <c:v>120</c:v>
                </c:pt>
                <c:pt idx="11">
                  <c:v>136</c:v>
                </c:pt>
                <c:pt idx="12">
                  <c:v>144</c:v>
                </c:pt>
                <c:pt idx="13">
                  <c:v>124</c:v>
                </c:pt>
                <c:pt idx="14">
                  <c:v>76</c:v>
                </c:pt>
                <c:pt idx="15">
                  <c:v>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D78-4781-9A3F-14F1C878D5A8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HLAVNÍ_VÝSLEDKY!$G$119:$V$119</c:f>
              <c:numCache>
                <c:formatCode>General</c:formatCode>
                <c:ptCount val="16"/>
                <c:pt idx="0">
                  <c:v>100</c:v>
                </c:pt>
                <c:pt idx="1">
                  <c:v>448</c:v>
                </c:pt>
                <c:pt idx="2">
                  <c:v>336</c:v>
                </c:pt>
                <c:pt idx="3">
                  <c:v>928</c:v>
                </c:pt>
                <c:pt idx="4">
                  <c:v>1896</c:v>
                </c:pt>
                <c:pt idx="5">
                  <c:v>2080</c:v>
                </c:pt>
                <c:pt idx="6">
                  <c:v>2200</c:v>
                </c:pt>
                <c:pt idx="7">
                  <c:v>2364</c:v>
                </c:pt>
                <c:pt idx="8">
                  <c:v>1908</c:v>
                </c:pt>
                <c:pt idx="9">
                  <c:v>2316</c:v>
                </c:pt>
                <c:pt idx="10">
                  <c:v>2104</c:v>
                </c:pt>
                <c:pt idx="11">
                  <c:v>1932</c:v>
                </c:pt>
                <c:pt idx="12">
                  <c:v>2136</c:v>
                </c:pt>
                <c:pt idx="13">
                  <c:v>2792</c:v>
                </c:pt>
                <c:pt idx="14">
                  <c:v>3072</c:v>
                </c:pt>
                <c:pt idx="15">
                  <c:v>2068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D78-4781-9A3F-14F1C878D5A8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HLAVNÍ_VÝSLEDKY!$G$120:$V$120</c:f>
              <c:numCache>
                <c:formatCode>General</c:formatCode>
                <c:ptCount val="16"/>
                <c:pt idx="0">
                  <c:v>288</c:v>
                </c:pt>
                <c:pt idx="1">
                  <c:v>376</c:v>
                </c:pt>
                <c:pt idx="2">
                  <c:v>588</c:v>
                </c:pt>
                <c:pt idx="3">
                  <c:v>1180</c:v>
                </c:pt>
                <c:pt idx="4">
                  <c:v>1768</c:v>
                </c:pt>
                <c:pt idx="5">
                  <c:v>1512</c:v>
                </c:pt>
                <c:pt idx="6">
                  <c:v>964</c:v>
                </c:pt>
                <c:pt idx="7">
                  <c:v>1420</c:v>
                </c:pt>
                <c:pt idx="8">
                  <c:v>1096</c:v>
                </c:pt>
                <c:pt idx="9">
                  <c:v>1320</c:v>
                </c:pt>
                <c:pt idx="10">
                  <c:v>1552</c:v>
                </c:pt>
                <c:pt idx="11">
                  <c:v>1824</c:v>
                </c:pt>
                <c:pt idx="12">
                  <c:v>1888</c:v>
                </c:pt>
                <c:pt idx="13">
                  <c:v>2244</c:v>
                </c:pt>
                <c:pt idx="14">
                  <c:v>2304</c:v>
                </c:pt>
                <c:pt idx="15">
                  <c:v>2472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D78-4781-9A3F-14F1C878D5A8}"/>
            </c:ext>
          </c:extLst>
        </c:ser>
        <c:ser>
          <c:idx val="6"/>
          <c:order val="6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HLAVNÍ_VÝSLEDKY!$G$121:$V$121</c:f>
              <c:numCache>
                <c:formatCode>General</c:formatCode>
                <c:ptCount val="16"/>
                <c:pt idx="0">
                  <c:v>72</c:v>
                </c:pt>
                <c:pt idx="1">
                  <c:v>148</c:v>
                </c:pt>
                <c:pt idx="2">
                  <c:v>124</c:v>
                </c:pt>
                <c:pt idx="3">
                  <c:v>112</c:v>
                </c:pt>
                <c:pt idx="4">
                  <c:v>228</c:v>
                </c:pt>
                <c:pt idx="5">
                  <c:v>244</c:v>
                </c:pt>
                <c:pt idx="6">
                  <c:v>232</c:v>
                </c:pt>
                <c:pt idx="7">
                  <c:v>136</c:v>
                </c:pt>
                <c:pt idx="8">
                  <c:v>108</c:v>
                </c:pt>
                <c:pt idx="9">
                  <c:v>292</c:v>
                </c:pt>
                <c:pt idx="10">
                  <c:v>252</c:v>
                </c:pt>
                <c:pt idx="11">
                  <c:v>248</c:v>
                </c:pt>
                <c:pt idx="12">
                  <c:v>260</c:v>
                </c:pt>
                <c:pt idx="13">
                  <c:v>170</c:v>
                </c:pt>
                <c:pt idx="14">
                  <c:v>256</c:v>
                </c:pt>
                <c:pt idx="15">
                  <c:v>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D78-4781-9A3F-14F1C878D5A8}"/>
            </c:ext>
          </c:extLst>
        </c:ser>
        <c:ser>
          <c:idx val="7"/>
          <c:order val="7"/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HLAVNÍ_VÝSLEDKY!$G$122:$V$122</c:f>
              <c:numCache>
                <c:formatCode>General</c:formatCode>
                <c:ptCount val="16"/>
                <c:pt idx="0">
                  <c:v>120</c:v>
                </c:pt>
                <c:pt idx="1">
                  <c:v>520</c:v>
                </c:pt>
                <c:pt idx="2">
                  <c:v>388</c:v>
                </c:pt>
                <c:pt idx="3">
                  <c:v>1024</c:v>
                </c:pt>
                <c:pt idx="4">
                  <c:v>2116</c:v>
                </c:pt>
                <c:pt idx="5">
                  <c:v>2192</c:v>
                </c:pt>
                <c:pt idx="6">
                  <c:v>2272</c:v>
                </c:pt>
                <c:pt idx="7">
                  <c:v>2440</c:v>
                </c:pt>
                <c:pt idx="8">
                  <c:v>2020</c:v>
                </c:pt>
                <c:pt idx="9">
                  <c:v>2400</c:v>
                </c:pt>
                <c:pt idx="10">
                  <c:v>2180</c:v>
                </c:pt>
                <c:pt idx="11">
                  <c:v>2164</c:v>
                </c:pt>
                <c:pt idx="12">
                  <c:v>2288</c:v>
                </c:pt>
                <c:pt idx="13">
                  <c:v>2896</c:v>
                </c:pt>
                <c:pt idx="14">
                  <c:v>3156</c:v>
                </c:pt>
                <c:pt idx="15">
                  <c:v>2348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D78-4781-9A3F-14F1C878D5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9187376"/>
        <c:axId val="619186392"/>
      </c:barChart>
      <c:catAx>
        <c:axId val="619187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9186392"/>
        <c:crosses val="autoZero"/>
        <c:auto val="1"/>
        <c:lblAlgn val="ctr"/>
        <c:lblOffset val="100"/>
        <c:noMultiLvlLbl val="0"/>
      </c:catAx>
      <c:valAx>
        <c:axId val="619186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9187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133028679322162E-2"/>
          <c:y val="8.1481481481481488E-2"/>
          <c:w val="0.91587931662874267"/>
          <c:h val="0.600681248177311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HLAVNÍ_VÝSLEDKY!$G$123:$V$123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60</c:v>
                </c:pt>
                <c:pt idx="3">
                  <c:v>64</c:v>
                </c:pt>
                <c:pt idx="4">
                  <c:v>28</c:v>
                </c:pt>
                <c:pt idx="5">
                  <c:v>24</c:v>
                </c:pt>
                <c:pt idx="6">
                  <c:v>28</c:v>
                </c:pt>
                <c:pt idx="7">
                  <c:v>24</c:v>
                </c:pt>
                <c:pt idx="8">
                  <c:v>32</c:v>
                </c:pt>
                <c:pt idx="9">
                  <c:v>64</c:v>
                </c:pt>
                <c:pt idx="10">
                  <c:v>36</c:v>
                </c:pt>
                <c:pt idx="11">
                  <c:v>92</c:v>
                </c:pt>
                <c:pt idx="12">
                  <c:v>108</c:v>
                </c:pt>
                <c:pt idx="13">
                  <c:v>112</c:v>
                </c:pt>
                <c:pt idx="14">
                  <c:v>140</c:v>
                </c:pt>
                <c:pt idx="15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24-4D40-A5E2-0C2E9F51B75B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HLAVNÍ_VÝSLEDKY!$G$124:$V$124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12</c:v>
                </c:pt>
                <c:pt idx="4">
                  <c:v>20</c:v>
                </c:pt>
                <c:pt idx="5">
                  <c:v>64</c:v>
                </c:pt>
                <c:pt idx="6">
                  <c:v>48</c:v>
                </c:pt>
                <c:pt idx="7">
                  <c:v>16</c:v>
                </c:pt>
                <c:pt idx="8">
                  <c:v>48</c:v>
                </c:pt>
                <c:pt idx="9">
                  <c:v>28</c:v>
                </c:pt>
                <c:pt idx="10">
                  <c:v>24</c:v>
                </c:pt>
                <c:pt idx="11">
                  <c:v>84</c:v>
                </c:pt>
                <c:pt idx="12">
                  <c:v>100</c:v>
                </c:pt>
                <c:pt idx="13">
                  <c:v>36</c:v>
                </c:pt>
                <c:pt idx="14">
                  <c:v>60</c:v>
                </c:pt>
                <c:pt idx="15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24-4D40-A5E2-0C2E9F51B75B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HLAVNÍ_VÝSLEDKY!$G$125:$V$125</c:f>
              <c:numCache>
                <c:formatCode>General</c:formatCode>
                <c:ptCount val="16"/>
                <c:pt idx="0">
                  <c:v>108</c:v>
                </c:pt>
                <c:pt idx="1">
                  <c:v>108</c:v>
                </c:pt>
                <c:pt idx="2">
                  <c:v>76</c:v>
                </c:pt>
                <c:pt idx="3">
                  <c:v>40</c:v>
                </c:pt>
                <c:pt idx="4">
                  <c:v>108</c:v>
                </c:pt>
                <c:pt idx="5">
                  <c:v>256</c:v>
                </c:pt>
                <c:pt idx="6">
                  <c:v>316</c:v>
                </c:pt>
                <c:pt idx="7">
                  <c:v>184</c:v>
                </c:pt>
                <c:pt idx="8">
                  <c:v>208</c:v>
                </c:pt>
                <c:pt idx="9">
                  <c:v>232</c:v>
                </c:pt>
                <c:pt idx="10">
                  <c:v>144</c:v>
                </c:pt>
                <c:pt idx="11">
                  <c:v>180</c:v>
                </c:pt>
                <c:pt idx="12">
                  <c:v>208</c:v>
                </c:pt>
                <c:pt idx="13">
                  <c:v>516</c:v>
                </c:pt>
                <c:pt idx="14">
                  <c:v>544</c:v>
                </c:pt>
                <c:pt idx="15">
                  <c:v>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24-4D40-A5E2-0C2E9F51B75B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HLAVNÍ_VÝSLEDKY!$G$126:$V$126</c:f>
              <c:numCache>
                <c:formatCode>General</c:formatCode>
                <c:ptCount val="16"/>
                <c:pt idx="0">
                  <c:v>44</c:v>
                </c:pt>
                <c:pt idx="1">
                  <c:v>44</c:v>
                </c:pt>
                <c:pt idx="2">
                  <c:v>120</c:v>
                </c:pt>
                <c:pt idx="3">
                  <c:v>140</c:v>
                </c:pt>
                <c:pt idx="4">
                  <c:v>208</c:v>
                </c:pt>
                <c:pt idx="5">
                  <c:v>588</c:v>
                </c:pt>
                <c:pt idx="6">
                  <c:v>784</c:v>
                </c:pt>
                <c:pt idx="7">
                  <c:v>568</c:v>
                </c:pt>
                <c:pt idx="8">
                  <c:v>648</c:v>
                </c:pt>
                <c:pt idx="9">
                  <c:v>364</c:v>
                </c:pt>
                <c:pt idx="10">
                  <c:v>492</c:v>
                </c:pt>
                <c:pt idx="11">
                  <c:v>568</c:v>
                </c:pt>
                <c:pt idx="12">
                  <c:v>592</c:v>
                </c:pt>
                <c:pt idx="13">
                  <c:v>432</c:v>
                </c:pt>
                <c:pt idx="14">
                  <c:v>488</c:v>
                </c:pt>
                <c:pt idx="15">
                  <c:v>356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524-4D40-A5E2-0C2E9F51B75B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HLAVNÍ_VÝSLEDKY!$G$127:$V$127</c:f>
              <c:numCache>
                <c:formatCode>General</c:formatCode>
                <c:ptCount val="16"/>
                <c:pt idx="0">
                  <c:v>196</c:v>
                </c:pt>
                <c:pt idx="1">
                  <c:v>196</c:v>
                </c:pt>
                <c:pt idx="2">
                  <c:v>304</c:v>
                </c:pt>
                <c:pt idx="3">
                  <c:v>424</c:v>
                </c:pt>
                <c:pt idx="4">
                  <c:v>856</c:v>
                </c:pt>
                <c:pt idx="5">
                  <c:v>1440</c:v>
                </c:pt>
                <c:pt idx="6">
                  <c:v>1516</c:v>
                </c:pt>
                <c:pt idx="7">
                  <c:v>916</c:v>
                </c:pt>
                <c:pt idx="8">
                  <c:v>1032</c:v>
                </c:pt>
                <c:pt idx="9">
                  <c:v>1092</c:v>
                </c:pt>
                <c:pt idx="10">
                  <c:v>1084</c:v>
                </c:pt>
                <c:pt idx="11">
                  <c:v>1408</c:v>
                </c:pt>
                <c:pt idx="12">
                  <c:v>1468</c:v>
                </c:pt>
                <c:pt idx="13">
                  <c:v>1380</c:v>
                </c:pt>
                <c:pt idx="14">
                  <c:v>1444</c:v>
                </c:pt>
                <c:pt idx="15">
                  <c:v>1312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524-4D40-A5E2-0C2E9F51B75B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HLAVNÍ_VÝSLEDKY!$G$128:$V$128</c:f>
              <c:numCache>
                <c:formatCode>General</c:formatCode>
                <c:ptCount val="16"/>
                <c:pt idx="0">
                  <c:v>208</c:v>
                </c:pt>
                <c:pt idx="1">
                  <c:v>208</c:v>
                </c:pt>
                <c:pt idx="2">
                  <c:v>264</c:v>
                </c:pt>
                <c:pt idx="3">
                  <c:v>460</c:v>
                </c:pt>
                <c:pt idx="4">
                  <c:v>900</c:v>
                </c:pt>
                <c:pt idx="5">
                  <c:v>1228</c:v>
                </c:pt>
                <c:pt idx="6">
                  <c:v>1392</c:v>
                </c:pt>
                <c:pt idx="7">
                  <c:v>1512</c:v>
                </c:pt>
                <c:pt idx="8">
                  <c:v>1228</c:v>
                </c:pt>
                <c:pt idx="9">
                  <c:v>1524</c:v>
                </c:pt>
                <c:pt idx="10">
                  <c:v>1512</c:v>
                </c:pt>
                <c:pt idx="11">
                  <c:v>1608</c:v>
                </c:pt>
                <c:pt idx="12">
                  <c:v>1308</c:v>
                </c:pt>
                <c:pt idx="13">
                  <c:v>1780</c:v>
                </c:pt>
                <c:pt idx="14">
                  <c:v>1632</c:v>
                </c:pt>
                <c:pt idx="15">
                  <c:v>1392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524-4D40-A5E2-0C2E9F51B75B}"/>
            </c:ext>
          </c:extLst>
        </c:ser>
        <c:ser>
          <c:idx val="6"/>
          <c:order val="6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HLAVNÍ_VÝSLEDKY!$G$129:$V$129</c:f>
              <c:numCache>
                <c:formatCode>General</c:formatCode>
                <c:ptCount val="16"/>
                <c:pt idx="0">
                  <c:v>304</c:v>
                </c:pt>
                <c:pt idx="1">
                  <c:v>304</c:v>
                </c:pt>
                <c:pt idx="2">
                  <c:v>380</c:v>
                </c:pt>
                <c:pt idx="3">
                  <c:v>464</c:v>
                </c:pt>
                <c:pt idx="4">
                  <c:v>964</c:v>
                </c:pt>
                <c:pt idx="5">
                  <c:v>1696</c:v>
                </c:pt>
                <c:pt idx="6">
                  <c:v>1832</c:v>
                </c:pt>
                <c:pt idx="7">
                  <c:v>1100</c:v>
                </c:pt>
                <c:pt idx="8">
                  <c:v>1240</c:v>
                </c:pt>
                <c:pt idx="9">
                  <c:v>1324</c:v>
                </c:pt>
                <c:pt idx="10">
                  <c:v>1228</c:v>
                </c:pt>
                <c:pt idx="11">
                  <c:v>1588</c:v>
                </c:pt>
                <c:pt idx="12">
                  <c:v>1676</c:v>
                </c:pt>
                <c:pt idx="13">
                  <c:v>1896</c:v>
                </c:pt>
                <c:pt idx="14">
                  <c:v>1988</c:v>
                </c:pt>
                <c:pt idx="15">
                  <c:v>1680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524-4D40-A5E2-0C2E9F51B75B}"/>
            </c:ext>
          </c:extLst>
        </c:ser>
        <c:ser>
          <c:idx val="7"/>
          <c:order val="7"/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HLAVNÍ_VÝSLEDKY!$G$130:$V$130</c:f>
              <c:numCache>
                <c:formatCode>General</c:formatCode>
                <c:ptCount val="16"/>
                <c:pt idx="0">
                  <c:v>208</c:v>
                </c:pt>
                <c:pt idx="1">
                  <c:v>208</c:v>
                </c:pt>
                <c:pt idx="2">
                  <c:v>324</c:v>
                </c:pt>
                <c:pt idx="3">
                  <c:v>524</c:v>
                </c:pt>
                <c:pt idx="4">
                  <c:v>928</c:v>
                </c:pt>
                <c:pt idx="5">
                  <c:v>1252</c:v>
                </c:pt>
                <c:pt idx="6">
                  <c:v>1420</c:v>
                </c:pt>
                <c:pt idx="7">
                  <c:v>1536</c:v>
                </c:pt>
                <c:pt idx="8">
                  <c:v>1260</c:v>
                </c:pt>
                <c:pt idx="9">
                  <c:v>1588</c:v>
                </c:pt>
                <c:pt idx="10">
                  <c:v>1548</c:v>
                </c:pt>
                <c:pt idx="11">
                  <c:v>1700</c:v>
                </c:pt>
                <c:pt idx="12">
                  <c:v>1416</c:v>
                </c:pt>
                <c:pt idx="13">
                  <c:v>1892</c:v>
                </c:pt>
                <c:pt idx="14">
                  <c:v>1772</c:v>
                </c:pt>
                <c:pt idx="15">
                  <c:v>1472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524-4D40-A5E2-0C2E9F51B75B}"/>
            </c:ext>
          </c:extLst>
        </c:ser>
        <c:ser>
          <c:idx val="8"/>
          <c:order val="8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HLAVNÍ_VÝSLEDKY!$G$131:$V$131</c:f>
              <c:numCache>
                <c:formatCode>General</c:formatCode>
                <c:ptCount val="16"/>
                <c:pt idx="0">
                  <c:v>44</c:v>
                </c:pt>
                <c:pt idx="1">
                  <c:v>44</c:v>
                </c:pt>
                <c:pt idx="2">
                  <c:v>120</c:v>
                </c:pt>
                <c:pt idx="3">
                  <c:v>152</c:v>
                </c:pt>
                <c:pt idx="4">
                  <c:v>228</c:v>
                </c:pt>
                <c:pt idx="5">
                  <c:v>652</c:v>
                </c:pt>
                <c:pt idx="6">
                  <c:v>832</c:v>
                </c:pt>
                <c:pt idx="7">
                  <c:v>584</c:v>
                </c:pt>
                <c:pt idx="8">
                  <c:v>696</c:v>
                </c:pt>
                <c:pt idx="9">
                  <c:v>392</c:v>
                </c:pt>
                <c:pt idx="10">
                  <c:v>516</c:v>
                </c:pt>
                <c:pt idx="11">
                  <c:v>652</c:v>
                </c:pt>
                <c:pt idx="12">
                  <c:v>692</c:v>
                </c:pt>
                <c:pt idx="13">
                  <c:v>468</c:v>
                </c:pt>
                <c:pt idx="14">
                  <c:v>548</c:v>
                </c:pt>
                <c:pt idx="15">
                  <c:v>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524-4D40-A5E2-0C2E9F51B7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6159552"/>
        <c:axId val="616163816"/>
      </c:barChart>
      <c:catAx>
        <c:axId val="616159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6163816"/>
        <c:crosses val="autoZero"/>
        <c:auto val="1"/>
        <c:lblAlgn val="ctr"/>
        <c:lblOffset val="100"/>
        <c:noMultiLvlLbl val="0"/>
      </c:catAx>
      <c:valAx>
        <c:axId val="616163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6159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133028679322162E-2"/>
          <c:y val="8.1481481481481488E-2"/>
          <c:w val="0.91587931662874267"/>
          <c:h val="0.600681248177311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HLAVNÍ_VÝSLEDKY!$G$132:$V$132</c:f>
              <c:numCache>
                <c:formatCode>General</c:formatCode>
                <c:ptCount val="16"/>
                <c:pt idx="0">
                  <c:v>124</c:v>
                </c:pt>
                <c:pt idx="1">
                  <c:v>100</c:v>
                </c:pt>
                <c:pt idx="2">
                  <c:v>496</c:v>
                </c:pt>
                <c:pt idx="3">
                  <c:v>712</c:v>
                </c:pt>
                <c:pt idx="4">
                  <c:v>1408</c:v>
                </c:pt>
                <c:pt idx="5">
                  <c:v>1220</c:v>
                </c:pt>
                <c:pt idx="6">
                  <c:v>1472</c:v>
                </c:pt>
                <c:pt idx="7">
                  <c:v>1604</c:v>
                </c:pt>
                <c:pt idx="8">
                  <c:v>1444</c:v>
                </c:pt>
                <c:pt idx="9">
                  <c:v>1024</c:v>
                </c:pt>
                <c:pt idx="10">
                  <c:v>1296</c:v>
                </c:pt>
                <c:pt idx="11">
                  <c:v>1312</c:v>
                </c:pt>
                <c:pt idx="12">
                  <c:v>1648</c:v>
                </c:pt>
                <c:pt idx="13">
                  <c:v>1532</c:v>
                </c:pt>
                <c:pt idx="14">
                  <c:v>1840</c:v>
                </c:pt>
                <c:pt idx="15">
                  <c:v>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95-4D14-A89A-73D34C453CA0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HLAVNÍ_VÝSLEDKY!$G$133:$V$133</c:f>
              <c:numCache>
                <c:formatCode>General</c:formatCode>
                <c:ptCount val="16"/>
                <c:pt idx="0">
                  <c:v>60</c:v>
                </c:pt>
                <c:pt idx="1">
                  <c:v>212</c:v>
                </c:pt>
                <c:pt idx="2">
                  <c:v>388</c:v>
                </c:pt>
                <c:pt idx="3">
                  <c:v>1484</c:v>
                </c:pt>
                <c:pt idx="4">
                  <c:v>1048</c:v>
                </c:pt>
                <c:pt idx="5">
                  <c:v>1608</c:v>
                </c:pt>
                <c:pt idx="6">
                  <c:v>1684</c:v>
                </c:pt>
                <c:pt idx="7">
                  <c:v>1328</c:v>
                </c:pt>
                <c:pt idx="8">
                  <c:v>1164</c:v>
                </c:pt>
                <c:pt idx="9">
                  <c:v>1988</c:v>
                </c:pt>
                <c:pt idx="10">
                  <c:v>1196</c:v>
                </c:pt>
                <c:pt idx="11">
                  <c:v>1612</c:v>
                </c:pt>
                <c:pt idx="12">
                  <c:v>1864</c:v>
                </c:pt>
                <c:pt idx="13">
                  <c:v>2712</c:v>
                </c:pt>
                <c:pt idx="14">
                  <c:v>2008</c:v>
                </c:pt>
                <c:pt idx="15">
                  <c:v>1188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95-4D14-A89A-73D34C453CA0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HLAVNÍ_VÝSLEDKY!$G$134:$V$134</c:f>
              <c:numCache>
                <c:formatCode>General</c:formatCode>
                <c:ptCount val="16"/>
                <c:pt idx="0">
                  <c:v>28</c:v>
                </c:pt>
                <c:pt idx="1">
                  <c:v>16</c:v>
                </c:pt>
                <c:pt idx="2">
                  <c:v>52</c:v>
                </c:pt>
                <c:pt idx="3">
                  <c:v>128</c:v>
                </c:pt>
                <c:pt idx="4">
                  <c:v>248</c:v>
                </c:pt>
                <c:pt idx="5">
                  <c:v>192</c:v>
                </c:pt>
                <c:pt idx="6">
                  <c:v>256</c:v>
                </c:pt>
                <c:pt idx="7">
                  <c:v>168</c:v>
                </c:pt>
                <c:pt idx="8">
                  <c:v>292</c:v>
                </c:pt>
                <c:pt idx="9">
                  <c:v>160</c:v>
                </c:pt>
                <c:pt idx="10">
                  <c:v>292</c:v>
                </c:pt>
                <c:pt idx="11">
                  <c:v>184</c:v>
                </c:pt>
                <c:pt idx="12">
                  <c:v>144</c:v>
                </c:pt>
                <c:pt idx="13">
                  <c:v>196</c:v>
                </c:pt>
                <c:pt idx="14">
                  <c:v>248</c:v>
                </c:pt>
                <c:pt idx="15">
                  <c:v>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95-4D14-A89A-73D34C453CA0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HLAVNÍ_VÝSLEDKY!$G$135:$V$135</c:f>
              <c:numCache>
                <c:formatCode>General</c:formatCode>
                <c:ptCount val="16"/>
                <c:pt idx="0">
                  <c:v>20</c:v>
                </c:pt>
                <c:pt idx="1">
                  <c:v>24</c:v>
                </c:pt>
                <c:pt idx="2">
                  <c:v>76</c:v>
                </c:pt>
                <c:pt idx="3">
                  <c:v>104</c:v>
                </c:pt>
                <c:pt idx="4">
                  <c:v>144</c:v>
                </c:pt>
                <c:pt idx="5">
                  <c:v>300</c:v>
                </c:pt>
                <c:pt idx="6">
                  <c:v>224</c:v>
                </c:pt>
                <c:pt idx="7">
                  <c:v>136</c:v>
                </c:pt>
                <c:pt idx="8">
                  <c:v>276</c:v>
                </c:pt>
                <c:pt idx="9">
                  <c:v>208</c:v>
                </c:pt>
                <c:pt idx="10">
                  <c:v>240</c:v>
                </c:pt>
                <c:pt idx="11">
                  <c:v>188</c:v>
                </c:pt>
                <c:pt idx="12">
                  <c:v>116</c:v>
                </c:pt>
                <c:pt idx="13">
                  <c:v>220</c:v>
                </c:pt>
                <c:pt idx="14">
                  <c:v>240</c:v>
                </c:pt>
                <c:pt idx="15">
                  <c:v>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495-4D14-A89A-73D34C453CA0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HLAVNÍ_VÝSLEDKY!$G$136:$V$136</c:f>
              <c:numCache>
                <c:formatCode>General</c:formatCode>
                <c:ptCount val="16"/>
                <c:pt idx="0">
                  <c:v>8</c:v>
                </c:pt>
                <c:pt idx="1">
                  <c:v>40</c:v>
                </c:pt>
                <c:pt idx="2">
                  <c:v>60</c:v>
                </c:pt>
                <c:pt idx="3">
                  <c:v>248</c:v>
                </c:pt>
                <c:pt idx="4">
                  <c:v>408</c:v>
                </c:pt>
                <c:pt idx="5">
                  <c:v>128</c:v>
                </c:pt>
                <c:pt idx="6">
                  <c:v>64</c:v>
                </c:pt>
                <c:pt idx="7">
                  <c:v>88</c:v>
                </c:pt>
                <c:pt idx="8">
                  <c:v>60</c:v>
                </c:pt>
                <c:pt idx="9">
                  <c:v>128</c:v>
                </c:pt>
                <c:pt idx="10">
                  <c:v>48</c:v>
                </c:pt>
                <c:pt idx="11">
                  <c:v>160</c:v>
                </c:pt>
                <c:pt idx="12">
                  <c:v>48</c:v>
                </c:pt>
                <c:pt idx="13">
                  <c:v>88</c:v>
                </c:pt>
                <c:pt idx="14">
                  <c:v>128</c:v>
                </c:pt>
                <c:pt idx="15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495-4D14-A89A-73D34C453CA0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HLAVNÍ_VÝSLEDKY!$G$137:$V$137</c:f>
              <c:numCache>
                <c:formatCode>General</c:formatCode>
                <c:ptCount val="16"/>
                <c:pt idx="0">
                  <c:v>12</c:v>
                </c:pt>
                <c:pt idx="1">
                  <c:v>52</c:v>
                </c:pt>
                <c:pt idx="2">
                  <c:v>24</c:v>
                </c:pt>
                <c:pt idx="3">
                  <c:v>228</c:v>
                </c:pt>
                <c:pt idx="4">
                  <c:v>252</c:v>
                </c:pt>
                <c:pt idx="5">
                  <c:v>164</c:v>
                </c:pt>
                <c:pt idx="6">
                  <c:v>112</c:v>
                </c:pt>
                <c:pt idx="7">
                  <c:v>192</c:v>
                </c:pt>
                <c:pt idx="8">
                  <c:v>120</c:v>
                </c:pt>
                <c:pt idx="9">
                  <c:v>88</c:v>
                </c:pt>
                <c:pt idx="10">
                  <c:v>132</c:v>
                </c:pt>
                <c:pt idx="11">
                  <c:v>128</c:v>
                </c:pt>
                <c:pt idx="12">
                  <c:v>72</c:v>
                </c:pt>
                <c:pt idx="13">
                  <c:v>72</c:v>
                </c:pt>
                <c:pt idx="14">
                  <c:v>152</c:v>
                </c:pt>
                <c:pt idx="15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495-4D14-A89A-73D34C453CA0}"/>
            </c:ext>
          </c:extLst>
        </c:ser>
        <c:ser>
          <c:idx val="6"/>
          <c:order val="6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HLAVNÍ_VÝSLEDKY!$G$138:$V$138</c:f>
              <c:numCache>
                <c:formatCode>General</c:formatCode>
                <c:ptCount val="16"/>
                <c:pt idx="0">
                  <c:v>80</c:v>
                </c:pt>
                <c:pt idx="1">
                  <c:v>236</c:v>
                </c:pt>
                <c:pt idx="2">
                  <c:v>464</c:v>
                </c:pt>
                <c:pt idx="3">
                  <c:v>1588</c:v>
                </c:pt>
                <c:pt idx="4">
                  <c:v>1192</c:v>
                </c:pt>
                <c:pt idx="5">
                  <c:v>1908</c:v>
                </c:pt>
                <c:pt idx="6">
                  <c:v>1908</c:v>
                </c:pt>
                <c:pt idx="7">
                  <c:v>1464</c:v>
                </c:pt>
                <c:pt idx="8">
                  <c:v>1440</c:v>
                </c:pt>
                <c:pt idx="9">
                  <c:v>2196</c:v>
                </c:pt>
                <c:pt idx="10">
                  <c:v>1436</c:v>
                </c:pt>
                <c:pt idx="11">
                  <c:v>1800</c:v>
                </c:pt>
                <c:pt idx="12">
                  <c:v>1980</c:v>
                </c:pt>
                <c:pt idx="13">
                  <c:v>2932</c:v>
                </c:pt>
                <c:pt idx="14">
                  <c:v>2248</c:v>
                </c:pt>
                <c:pt idx="15">
                  <c:v>1332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495-4D14-A89A-73D34C453CA0}"/>
            </c:ext>
          </c:extLst>
        </c:ser>
        <c:ser>
          <c:idx val="7"/>
          <c:order val="7"/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HLAVNÍ_VÝSLEDKY!$G$139:$V$139</c:f>
              <c:numCache>
                <c:formatCode>General</c:formatCode>
                <c:ptCount val="16"/>
                <c:pt idx="0">
                  <c:v>36</c:v>
                </c:pt>
                <c:pt idx="1">
                  <c:v>56</c:v>
                </c:pt>
                <c:pt idx="2">
                  <c:v>112</c:v>
                </c:pt>
                <c:pt idx="3">
                  <c:v>376</c:v>
                </c:pt>
                <c:pt idx="4">
                  <c:v>656</c:v>
                </c:pt>
                <c:pt idx="5">
                  <c:v>320</c:v>
                </c:pt>
                <c:pt idx="6">
                  <c:v>320</c:v>
                </c:pt>
                <c:pt idx="7">
                  <c:v>256</c:v>
                </c:pt>
                <c:pt idx="8">
                  <c:v>352</c:v>
                </c:pt>
                <c:pt idx="9">
                  <c:v>288</c:v>
                </c:pt>
                <c:pt idx="10">
                  <c:v>340</c:v>
                </c:pt>
                <c:pt idx="11">
                  <c:v>344</c:v>
                </c:pt>
                <c:pt idx="12">
                  <c:v>192</c:v>
                </c:pt>
                <c:pt idx="13">
                  <c:v>284</c:v>
                </c:pt>
                <c:pt idx="14">
                  <c:v>376</c:v>
                </c:pt>
                <c:pt idx="15">
                  <c:v>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495-4D14-A89A-73D34C453CA0}"/>
            </c:ext>
          </c:extLst>
        </c:ser>
        <c:ser>
          <c:idx val="8"/>
          <c:order val="8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HLAVNÍ_VÝSLEDKY!$G$140:$V$140</c:f>
              <c:numCache>
                <c:formatCode>General</c:formatCode>
                <c:ptCount val="16"/>
                <c:pt idx="0">
                  <c:v>136</c:v>
                </c:pt>
                <c:pt idx="1">
                  <c:v>152</c:v>
                </c:pt>
                <c:pt idx="2">
                  <c:v>520</c:v>
                </c:pt>
                <c:pt idx="3">
                  <c:v>940</c:v>
                </c:pt>
                <c:pt idx="4">
                  <c:v>1660</c:v>
                </c:pt>
                <c:pt idx="5">
                  <c:v>1384</c:v>
                </c:pt>
                <c:pt idx="6">
                  <c:v>1584</c:v>
                </c:pt>
                <c:pt idx="7">
                  <c:v>1796</c:v>
                </c:pt>
                <c:pt idx="8">
                  <c:v>1564</c:v>
                </c:pt>
                <c:pt idx="9">
                  <c:v>1112</c:v>
                </c:pt>
                <c:pt idx="10">
                  <c:v>1428</c:v>
                </c:pt>
                <c:pt idx="11">
                  <c:v>1440</c:v>
                </c:pt>
                <c:pt idx="12">
                  <c:v>1720</c:v>
                </c:pt>
                <c:pt idx="13">
                  <c:v>1604</c:v>
                </c:pt>
                <c:pt idx="14">
                  <c:v>1992</c:v>
                </c:pt>
                <c:pt idx="15">
                  <c:v>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495-4D14-A89A-73D34C453C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7006256"/>
        <c:axId val="617009536"/>
      </c:barChart>
      <c:catAx>
        <c:axId val="617006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7009536"/>
        <c:crosses val="autoZero"/>
        <c:auto val="1"/>
        <c:lblAlgn val="ctr"/>
        <c:lblOffset val="100"/>
        <c:noMultiLvlLbl val="0"/>
      </c:catAx>
      <c:valAx>
        <c:axId val="617009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7006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723693079827252E-2"/>
          <c:y val="5.3540520936872768E-2"/>
          <c:w val="0.92556202141771116"/>
          <c:h val="0.639102118824572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HLAVNÍ_VÝSLEDKY!$G$11:$V$11</c:f>
              <c:numCache>
                <c:formatCode>General</c:formatCode>
                <c:ptCount val="16"/>
                <c:pt idx="0">
                  <c:v>0</c:v>
                </c:pt>
                <c:pt idx="1">
                  <c:v>24</c:v>
                </c:pt>
                <c:pt idx="2">
                  <c:v>16</c:v>
                </c:pt>
                <c:pt idx="3">
                  <c:v>20</c:v>
                </c:pt>
                <c:pt idx="4">
                  <c:v>136</c:v>
                </c:pt>
                <c:pt idx="5">
                  <c:v>88</c:v>
                </c:pt>
                <c:pt idx="6">
                  <c:v>84</c:v>
                </c:pt>
                <c:pt idx="7">
                  <c:v>84</c:v>
                </c:pt>
                <c:pt idx="8">
                  <c:v>52</c:v>
                </c:pt>
                <c:pt idx="9">
                  <c:v>40</c:v>
                </c:pt>
                <c:pt idx="10">
                  <c:v>156</c:v>
                </c:pt>
                <c:pt idx="11">
                  <c:v>28</c:v>
                </c:pt>
                <c:pt idx="12">
                  <c:v>60</c:v>
                </c:pt>
                <c:pt idx="13">
                  <c:v>12</c:v>
                </c:pt>
                <c:pt idx="14">
                  <c:v>12</c:v>
                </c:pt>
                <c:pt idx="15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7C-44C0-8A7E-903060FCC467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HLAVNÍ_VÝSLEDKY!$G$12:$V$12</c:f>
              <c:numCache>
                <c:formatCode>General</c:formatCode>
                <c:ptCount val="16"/>
                <c:pt idx="0">
                  <c:v>8</c:v>
                </c:pt>
                <c:pt idx="1">
                  <c:v>16</c:v>
                </c:pt>
                <c:pt idx="2">
                  <c:v>36</c:v>
                </c:pt>
                <c:pt idx="3">
                  <c:v>100</c:v>
                </c:pt>
                <c:pt idx="4">
                  <c:v>156</c:v>
                </c:pt>
                <c:pt idx="5">
                  <c:v>40</c:v>
                </c:pt>
                <c:pt idx="6">
                  <c:v>12</c:v>
                </c:pt>
                <c:pt idx="7">
                  <c:v>48</c:v>
                </c:pt>
                <c:pt idx="8">
                  <c:v>88</c:v>
                </c:pt>
                <c:pt idx="9">
                  <c:v>76</c:v>
                </c:pt>
                <c:pt idx="10">
                  <c:v>72</c:v>
                </c:pt>
                <c:pt idx="11">
                  <c:v>48</c:v>
                </c:pt>
                <c:pt idx="12">
                  <c:v>28</c:v>
                </c:pt>
                <c:pt idx="13">
                  <c:v>0</c:v>
                </c:pt>
                <c:pt idx="14">
                  <c:v>36</c:v>
                </c:pt>
                <c:pt idx="15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7C-44C0-8A7E-903060FCC467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HLAVNÍ_VÝSLEDKY!$G$13:$V$13</c:f>
              <c:numCache>
                <c:formatCode>General</c:formatCode>
                <c:ptCount val="16"/>
                <c:pt idx="0">
                  <c:v>40</c:v>
                </c:pt>
                <c:pt idx="1">
                  <c:v>96</c:v>
                </c:pt>
                <c:pt idx="2">
                  <c:v>272</c:v>
                </c:pt>
                <c:pt idx="3">
                  <c:v>484</c:v>
                </c:pt>
                <c:pt idx="4">
                  <c:v>420</c:v>
                </c:pt>
                <c:pt idx="5">
                  <c:v>372</c:v>
                </c:pt>
                <c:pt idx="6">
                  <c:v>252</c:v>
                </c:pt>
                <c:pt idx="7">
                  <c:v>372</c:v>
                </c:pt>
                <c:pt idx="8">
                  <c:v>460</c:v>
                </c:pt>
                <c:pt idx="9">
                  <c:v>232</c:v>
                </c:pt>
                <c:pt idx="10">
                  <c:v>492</c:v>
                </c:pt>
                <c:pt idx="11">
                  <c:v>144</c:v>
                </c:pt>
                <c:pt idx="12">
                  <c:v>232</c:v>
                </c:pt>
                <c:pt idx="13">
                  <c:v>240</c:v>
                </c:pt>
                <c:pt idx="14">
                  <c:v>180</c:v>
                </c:pt>
                <c:pt idx="15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7C-44C0-8A7E-903060FCC467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HLAVNÍ_VÝSLEDKY!$G$14:$V$14</c:f>
              <c:numCache>
                <c:formatCode>General</c:formatCode>
                <c:ptCount val="16"/>
                <c:pt idx="0">
                  <c:v>12</c:v>
                </c:pt>
                <c:pt idx="1">
                  <c:v>64</c:v>
                </c:pt>
                <c:pt idx="2">
                  <c:v>260</c:v>
                </c:pt>
                <c:pt idx="3">
                  <c:v>352</c:v>
                </c:pt>
                <c:pt idx="4">
                  <c:v>292</c:v>
                </c:pt>
                <c:pt idx="5">
                  <c:v>396</c:v>
                </c:pt>
                <c:pt idx="6">
                  <c:v>88</c:v>
                </c:pt>
                <c:pt idx="7">
                  <c:v>420</c:v>
                </c:pt>
                <c:pt idx="8">
                  <c:v>544</c:v>
                </c:pt>
                <c:pt idx="9">
                  <c:v>132</c:v>
                </c:pt>
                <c:pt idx="10">
                  <c:v>456</c:v>
                </c:pt>
                <c:pt idx="11">
                  <c:v>184</c:v>
                </c:pt>
                <c:pt idx="12">
                  <c:v>160</c:v>
                </c:pt>
                <c:pt idx="13">
                  <c:v>72</c:v>
                </c:pt>
                <c:pt idx="14">
                  <c:v>172</c:v>
                </c:pt>
                <c:pt idx="15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77C-44C0-8A7E-903060FCC467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HLAVNÍ_VÝSLEDKY!$G$15:$V$15</c:f>
              <c:numCache>
                <c:formatCode>General</c:formatCode>
                <c:ptCount val="16"/>
                <c:pt idx="0">
                  <c:v>0</c:v>
                </c:pt>
                <c:pt idx="1">
                  <c:v>24</c:v>
                </c:pt>
                <c:pt idx="2">
                  <c:v>16</c:v>
                </c:pt>
                <c:pt idx="3">
                  <c:v>20</c:v>
                </c:pt>
                <c:pt idx="4">
                  <c:v>136</c:v>
                </c:pt>
                <c:pt idx="5">
                  <c:v>88</c:v>
                </c:pt>
                <c:pt idx="6">
                  <c:v>84</c:v>
                </c:pt>
                <c:pt idx="7">
                  <c:v>84</c:v>
                </c:pt>
                <c:pt idx="8">
                  <c:v>52</c:v>
                </c:pt>
                <c:pt idx="9">
                  <c:v>40</c:v>
                </c:pt>
                <c:pt idx="10">
                  <c:v>156</c:v>
                </c:pt>
                <c:pt idx="11">
                  <c:v>28</c:v>
                </c:pt>
                <c:pt idx="12">
                  <c:v>60</c:v>
                </c:pt>
                <c:pt idx="13">
                  <c:v>12</c:v>
                </c:pt>
                <c:pt idx="14">
                  <c:v>12</c:v>
                </c:pt>
                <c:pt idx="15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77C-44C0-8A7E-903060FCC467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HLAVNÍ_VÝSLEDKY!$G$16:$V$16</c:f>
              <c:numCache>
                <c:formatCode>General</c:formatCode>
                <c:ptCount val="16"/>
                <c:pt idx="0">
                  <c:v>40</c:v>
                </c:pt>
                <c:pt idx="1">
                  <c:v>96</c:v>
                </c:pt>
                <c:pt idx="2">
                  <c:v>272</c:v>
                </c:pt>
                <c:pt idx="3">
                  <c:v>484</c:v>
                </c:pt>
                <c:pt idx="4">
                  <c:v>420</c:v>
                </c:pt>
                <c:pt idx="5">
                  <c:v>372</c:v>
                </c:pt>
                <c:pt idx="6">
                  <c:v>252</c:v>
                </c:pt>
                <c:pt idx="7">
                  <c:v>372</c:v>
                </c:pt>
                <c:pt idx="8">
                  <c:v>460</c:v>
                </c:pt>
                <c:pt idx="9">
                  <c:v>232</c:v>
                </c:pt>
                <c:pt idx="10">
                  <c:v>492</c:v>
                </c:pt>
                <c:pt idx="11">
                  <c:v>144</c:v>
                </c:pt>
                <c:pt idx="12">
                  <c:v>232</c:v>
                </c:pt>
                <c:pt idx="13">
                  <c:v>240</c:v>
                </c:pt>
                <c:pt idx="14">
                  <c:v>180</c:v>
                </c:pt>
                <c:pt idx="15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77C-44C0-8A7E-903060FCC467}"/>
            </c:ext>
          </c:extLst>
        </c:ser>
        <c:ser>
          <c:idx val="6"/>
          <c:order val="6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HLAVNÍ_VÝSLEDKY!$G$17:$V$17</c:f>
              <c:numCache>
                <c:formatCode>General</c:formatCode>
                <c:ptCount val="16"/>
                <c:pt idx="0">
                  <c:v>20</c:v>
                </c:pt>
                <c:pt idx="1">
                  <c:v>80</c:v>
                </c:pt>
                <c:pt idx="2">
                  <c:v>296</c:v>
                </c:pt>
                <c:pt idx="3">
                  <c:v>452</c:v>
                </c:pt>
                <c:pt idx="4">
                  <c:v>448</c:v>
                </c:pt>
                <c:pt idx="5">
                  <c:v>436</c:v>
                </c:pt>
                <c:pt idx="6">
                  <c:v>100</c:v>
                </c:pt>
                <c:pt idx="7">
                  <c:v>468</c:v>
                </c:pt>
                <c:pt idx="8">
                  <c:v>632</c:v>
                </c:pt>
                <c:pt idx="9">
                  <c:v>208</c:v>
                </c:pt>
                <c:pt idx="10">
                  <c:v>528</c:v>
                </c:pt>
                <c:pt idx="11">
                  <c:v>232</c:v>
                </c:pt>
                <c:pt idx="12">
                  <c:v>188</c:v>
                </c:pt>
                <c:pt idx="13">
                  <c:v>72</c:v>
                </c:pt>
                <c:pt idx="14">
                  <c:v>208</c:v>
                </c:pt>
                <c:pt idx="15">
                  <c:v>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77C-44C0-8A7E-903060FCC4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2367120"/>
        <c:axId val="512368104"/>
      </c:barChart>
      <c:catAx>
        <c:axId val="512367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2368104"/>
        <c:crosses val="autoZero"/>
        <c:auto val="1"/>
        <c:lblAlgn val="ctr"/>
        <c:lblOffset val="100"/>
        <c:noMultiLvlLbl val="0"/>
      </c:catAx>
      <c:valAx>
        <c:axId val="512368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2367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133028679322162E-2"/>
          <c:y val="8.1481481481481488E-2"/>
          <c:w val="0.91587931662874267"/>
          <c:h val="0.624565762613006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HLAVNÍ_VÝSLEDKY!$G$141:$V$141</c:f>
              <c:numCache>
                <c:formatCode>General</c:formatCode>
                <c:ptCount val="16"/>
                <c:pt idx="0">
                  <c:v>8</c:v>
                </c:pt>
                <c:pt idx="1">
                  <c:v>28</c:v>
                </c:pt>
                <c:pt idx="2">
                  <c:v>496</c:v>
                </c:pt>
                <c:pt idx="3">
                  <c:v>112</c:v>
                </c:pt>
                <c:pt idx="4">
                  <c:v>256</c:v>
                </c:pt>
                <c:pt idx="5">
                  <c:v>288</c:v>
                </c:pt>
                <c:pt idx="6">
                  <c:v>224</c:v>
                </c:pt>
                <c:pt idx="7">
                  <c:v>136</c:v>
                </c:pt>
                <c:pt idx="8">
                  <c:v>252</c:v>
                </c:pt>
                <c:pt idx="9">
                  <c:v>268</c:v>
                </c:pt>
                <c:pt idx="10">
                  <c:v>256</c:v>
                </c:pt>
                <c:pt idx="11">
                  <c:v>228</c:v>
                </c:pt>
                <c:pt idx="12">
                  <c:v>168</c:v>
                </c:pt>
                <c:pt idx="13">
                  <c:v>232</c:v>
                </c:pt>
                <c:pt idx="14">
                  <c:v>268</c:v>
                </c:pt>
                <c:pt idx="15">
                  <c:v>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8A-493D-A5FF-6E0BBB40E90F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HLAVNÍ_VÝSLEDKY!$G$142:$V$142</c:f>
              <c:numCache>
                <c:formatCode>General</c:formatCode>
                <c:ptCount val="16"/>
                <c:pt idx="0">
                  <c:v>4</c:v>
                </c:pt>
                <c:pt idx="1">
                  <c:v>8</c:v>
                </c:pt>
                <c:pt idx="2">
                  <c:v>348</c:v>
                </c:pt>
                <c:pt idx="3">
                  <c:v>144</c:v>
                </c:pt>
                <c:pt idx="4">
                  <c:v>96</c:v>
                </c:pt>
                <c:pt idx="5">
                  <c:v>336</c:v>
                </c:pt>
                <c:pt idx="6">
                  <c:v>248</c:v>
                </c:pt>
                <c:pt idx="7">
                  <c:v>180</c:v>
                </c:pt>
                <c:pt idx="8">
                  <c:v>420</c:v>
                </c:pt>
                <c:pt idx="9">
                  <c:v>232</c:v>
                </c:pt>
                <c:pt idx="10">
                  <c:v>348</c:v>
                </c:pt>
                <c:pt idx="11">
                  <c:v>232</c:v>
                </c:pt>
                <c:pt idx="12">
                  <c:v>208</c:v>
                </c:pt>
                <c:pt idx="13">
                  <c:v>196</c:v>
                </c:pt>
                <c:pt idx="14">
                  <c:v>228</c:v>
                </c:pt>
                <c:pt idx="15">
                  <c:v>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8A-493D-A5FF-6E0BBB40E90F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HLAVNÍ_VÝSLEDKY!$G$143:$V$143</c:f>
              <c:numCache>
                <c:formatCode>General</c:formatCode>
                <c:ptCount val="16"/>
                <c:pt idx="0">
                  <c:v>80</c:v>
                </c:pt>
                <c:pt idx="1">
                  <c:v>184</c:v>
                </c:pt>
                <c:pt idx="2">
                  <c:v>76</c:v>
                </c:pt>
                <c:pt idx="3">
                  <c:v>1464</c:v>
                </c:pt>
                <c:pt idx="4">
                  <c:v>996</c:v>
                </c:pt>
                <c:pt idx="5">
                  <c:v>912</c:v>
                </c:pt>
                <c:pt idx="6">
                  <c:v>1004</c:v>
                </c:pt>
                <c:pt idx="7">
                  <c:v>1056</c:v>
                </c:pt>
                <c:pt idx="8">
                  <c:v>820</c:v>
                </c:pt>
                <c:pt idx="9">
                  <c:v>808</c:v>
                </c:pt>
                <c:pt idx="10">
                  <c:v>1216</c:v>
                </c:pt>
                <c:pt idx="11">
                  <c:v>1188</c:v>
                </c:pt>
                <c:pt idx="12">
                  <c:v>1240</c:v>
                </c:pt>
                <c:pt idx="13">
                  <c:v>1192</c:v>
                </c:pt>
                <c:pt idx="14">
                  <c:v>1272</c:v>
                </c:pt>
                <c:pt idx="15">
                  <c:v>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8A-493D-A5FF-6E0BBB40E90F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HLAVNÍ_VÝSLEDKY!$G$144:$V$144</c:f>
              <c:numCache>
                <c:formatCode>General</c:formatCode>
                <c:ptCount val="16"/>
                <c:pt idx="0">
                  <c:v>44</c:v>
                </c:pt>
                <c:pt idx="1">
                  <c:v>88</c:v>
                </c:pt>
                <c:pt idx="2">
                  <c:v>52</c:v>
                </c:pt>
                <c:pt idx="3">
                  <c:v>612</c:v>
                </c:pt>
                <c:pt idx="4">
                  <c:v>1500</c:v>
                </c:pt>
                <c:pt idx="5">
                  <c:v>1180</c:v>
                </c:pt>
                <c:pt idx="6">
                  <c:v>1328</c:v>
                </c:pt>
                <c:pt idx="7">
                  <c:v>1552</c:v>
                </c:pt>
                <c:pt idx="8">
                  <c:v>700</c:v>
                </c:pt>
                <c:pt idx="9">
                  <c:v>1428</c:v>
                </c:pt>
                <c:pt idx="10">
                  <c:v>1128</c:v>
                </c:pt>
                <c:pt idx="11">
                  <c:v>1140</c:v>
                </c:pt>
                <c:pt idx="12">
                  <c:v>1308</c:v>
                </c:pt>
                <c:pt idx="13">
                  <c:v>1860</c:v>
                </c:pt>
                <c:pt idx="14">
                  <c:v>1888</c:v>
                </c:pt>
                <c:pt idx="15">
                  <c:v>1148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28A-493D-A5FF-6E0BBB40E90F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HLAVNÍ_VÝSLEDKY!$G$145:$V$145</c:f>
              <c:numCache>
                <c:formatCode>General</c:formatCode>
                <c:ptCount val="16"/>
                <c:pt idx="0">
                  <c:v>64</c:v>
                </c:pt>
                <c:pt idx="1">
                  <c:v>80</c:v>
                </c:pt>
                <c:pt idx="2">
                  <c:v>192</c:v>
                </c:pt>
                <c:pt idx="3">
                  <c:v>348</c:v>
                </c:pt>
                <c:pt idx="4">
                  <c:v>220</c:v>
                </c:pt>
                <c:pt idx="5">
                  <c:v>412</c:v>
                </c:pt>
                <c:pt idx="6">
                  <c:v>440</c:v>
                </c:pt>
                <c:pt idx="7">
                  <c:v>400</c:v>
                </c:pt>
                <c:pt idx="8">
                  <c:v>808</c:v>
                </c:pt>
                <c:pt idx="9">
                  <c:v>480</c:v>
                </c:pt>
                <c:pt idx="10">
                  <c:v>348</c:v>
                </c:pt>
                <c:pt idx="11">
                  <c:v>368</c:v>
                </c:pt>
                <c:pt idx="12">
                  <c:v>508</c:v>
                </c:pt>
                <c:pt idx="13">
                  <c:v>448</c:v>
                </c:pt>
                <c:pt idx="14">
                  <c:v>600</c:v>
                </c:pt>
                <c:pt idx="15">
                  <c:v>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28A-493D-A5FF-6E0BBB40E90F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HLAVNÍ_VÝSLEDKY!$G$146:$V$146</c:f>
              <c:numCache>
                <c:formatCode>General</c:formatCode>
                <c:ptCount val="16"/>
                <c:pt idx="0">
                  <c:v>28</c:v>
                </c:pt>
                <c:pt idx="1">
                  <c:v>60</c:v>
                </c:pt>
                <c:pt idx="2">
                  <c:v>112</c:v>
                </c:pt>
                <c:pt idx="3">
                  <c:v>372</c:v>
                </c:pt>
                <c:pt idx="4">
                  <c:v>468</c:v>
                </c:pt>
                <c:pt idx="5">
                  <c:v>604</c:v>
                </c:pt>
                <c:pt idx="6">
                  <c:v>620</c:v>
                </c:pt>
                <c:pt idx="7">
                  <c:v>720</c:v>
                </c:pt>
                <c:pt idx="8">
                  <c:v>912</c:v>
                </c:pt>
                <c:pt idx="9">
                  <c:v>1224</c:v>
                </c:pt>
                <c:pt idx="10">
                  <c:v>412</c:v>
                </c:pt>
                <c:pt idx="11">
                  <c:v>612</c:v>
                </c:pt>
                <c:pt idx="12">
                  <c:v>960</c:v>
                </c:pt>
                <c:pt idx="13">
                  <c:v>912</c:v>
                </c:pt>
                <c:pt idx="14">
                  <c:v>1072</c:v>
                </c:pt>
                <c:pt idx="15">
                  <c:v>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28A-493D-A5FF-6E0BBB40E90F}"/>
            </c:ext>
          </c:extLst>
        </c:ser>
        <c:ser>
          <c:idx val="6"/>
          <c:order val="6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HLAVNÍ_VÝSLEDKY!$G$147:$V$147</c:f>
              <c:numCache>
                <c:formatCode>General</c:formatCode>
                <c:ptCount val="16"/>
                <c:pt idx="0">
                  <c:v>48</c:v>
                </c:pt>
                <c:pt idx="1">
                  <c:v>96</c:v>
                </c:pt>
                <c:pt idx="2">
                  <c:v>400</c:v>
                </c:pt>
                <c:pt idx="3">
                  <c:v>756</c:v>
                </c:pt>
                <c:pt idx="4">
                  <c:v>1596</c:v>
                </c:pt>
                <c:pt idx="5">
                  <c:v>1516</c:v>
                </c:pt>
                <c:pt idx="6">
                  <c:v>1576</c:v>
                </c:pt>
                <c:pt idx="7">
                  <c:v>1732</c:v>
                </c:pt>
                <c:pt idx="8">
                  <c:v>1120</c:v>
                </c:pt>
                <c:pt idx="9">
                  <c:v>1660</c:v>
                </c:pt>
                <c:pt idx="10">
                  <c:v>1476</c:v>
                </c:pt>
                <c:pt idx="11">
                  <c:v>1372</c:v>
                </c:pt>
                <c:pt idx="12">
                  <c:v>1516</c:v>
                </c:pt>
                <c:pt idx="13">
                  <c:v>2056</c:v>
                </c:pt>
                <c:pt idx="14">
                  <c:v>2116</c:v>
                </c:pt>
                <c:pt idx="15">
                  <c:v>1296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28A-493D-A5FF-6E0BBB40E90F}"/>
            </c:ext>
          </c:extLst>
        </c:ser>
        <c:ser>
          <c:idx val="7"/>
          <c:order val="7"/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HLAVNÍ_VÝSLEDKY!$G$148:$V$148</c:f>
              <c:numCache>
                <c:formatCode>General</c:formatCode>
                <c:ptCount val="16"/>
                <c:pt idx="0">
                  <c:v>144</c:v>
                </c:pt>
                <c:pt idx="1">
                  <c:v>264</c:v>
                </c:pt>
                <c:pt idx="2">
                  <c:v>268</c:v>
                </c:pt>
                <c:pt idx="3">
                  <c:v>1812</c:v>
                </c:pt>
                <c:pt idx="4">
                  <c:v>1216</c:v>
                </c:pt>
                <c:pt idx="5">
                  <c:v>1324</c:v>
                </c:pt>
                <c:pt idx="6">
                  <c:v>1444</c:v>
                </c:pt>
                <c:pt idx="7">
                  <c:v>1456</c:v>
                </c:pt>
                <c:pt idx="8">
                  <c:v>1628</c:v>
                </c:pt>
                <c:pt idx="9">
                  <c:v>1288</c:v>
                </c:pt>
                <c:pt idx="10">
                  <c:v>1564</c:v>
                </c:pt>
                <c:pt idx="11">
                  <c:v>1556</c:v>
                </c:pt>
                <c:pt idx="12">
                  <c:v>1748</c:v>
                </c:pt>
                <c:pt idx="13">
                  <c:v>1640</c:v>
                </c:pt>
                <c:pt idx="14">
                  <c:v>1872</c:v>
                </c:pt>
                <c:pt idx="15">
                  <c:v>1180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28A-493D-A5FF-6E0BBB40E90F}"/>
            </c:ext>
          </c:extLst>
        </c:ser>
        <c:ser>
          <c:idx val="8"/>
          <c:order val="8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HLAVNÍ_VÝSLEDKY!$G$149:$V$149</c:f>
              <c:numCache>
                <c:formatCode>General</c:formatCode>
                <c:ptCount val="16"/>
                <c:pt idx="0">
                  <c:v>36</c:v>
                </c:pt>
                <c:pt idx="1">
                  <c:v>88</c:v>
                </c:pt>
                <c:pt idx="2">
                  <c:v>608</c:v>
                </c:pt>
                <c:pt idx="3">
                  <c:v>484</c:v>
                </c:pt>
                <c:pt idx="4">
                  <c:v>724</c:v>
                </c:pt>
                <c:pt idx="5">
                  <c:v>892</c:v>
                </c:pt>
                <c:pt idx="6">
                  <c:v>844</c:v>
                </c:pt>
                <c:pt idx="7">
                  <c:v>856</c:v>
                </c:pt>
                <c:pt idx="8">
                  <c:v>1164</c:v>
                </c:pt>
                <c:pt idx="9">
                  <c:v>1492</c:v>
                </c:pt>
                <c:pt idx="10">
                  <c:v>668</c:v>
                </c:pt>
                <c:pt idx="11">
                  <c:v>840</c:v>
                </c:pt>
                <c:pt idx="12">
                  <c:v>1128</c:v>
                </c:pt>
                <c:pt idx="13">
                  <c:v>1144</c:v>
                </c:pt>
                <c:pt idx="14">
                  <c:v>1340</c:v>
                </c:pt>
                <c:pt idx="15">
                  <c:v>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28A-493D-A5FF-6E0BBB40E9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5855192"/>
        <c:axId val="655854208"/>
      </c:barChart>
      <c:catAx>
        <c:axId val="655855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5854208"/>
        <c:crosses val="autoZero"/>
        <c:auto val="1"/>
        <c:lblAlgn val="ctr"/>
        <c:lblOffset val="100"/>
        <c:noMultiLvlLbl val="0"/>
      </c:catAx>
      <c:valAx>
        <c:axId val="655854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5855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133028679322162E-2"/>
          <c:y val="8.1481481481481488E-2"/>
          <c:w val="0.91587931662874267"/>
          <c:h val="0.624565762613006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HLAVNÍ_VÝSLEDKY!$G$150:$V$150</c:f>
              <c:numCache>
                <c:formatCode>General</c:formatCode>
                <c:ptCount val="16"/>
                <c:pt idx="0">
                  <c:v>12</c:v>
                </c:pt>
                <c:pt idx="1">
                  <c:v>76</c:v>
                </c:pt>
                <c:pt idx="2">
                  <c:v>324</c:v>
                </c:pt>
                <c:pt idx="3">
                  <c:v>512</c:v>
                </c:pt>
                <c:pt idx="4">
                  <c:v>520</c:v>
                </c:pt>
                <c:pt idx="5">
                  <c:v>608</c:v>
                </c:pt>
                <c:pt idx="6">
                  <c:v>684</c:v>
                </c:pt>
                <c:pt idx="7">
                  <c:v>568</c:v>
                </c:pt>
                <c:pt idx="8">
                  <c:v>492</c:v>
                </c:pt>
                <c:pt idx="9">
                  <c:v>504</c:v>
                </c:pt>
                <c:pt idx="10">
                  <c:v>348</c:v>
                </c:pt>
                <c:pt idx="11">
                  <c:v>328</c:v>
                </c:pt>
                <c:pt idx="12">
                  <c:v>520</c:v>
                </c:pt>
                <c:pt idx="13">
                  <c:v>556</c:v>
                </c:pt>
                <c:pt idx="14">
                  <c:v>668</c:v>
                </c:pt>
                <c:pt idx="15">
                  <c:v>448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04-4393-9BC1-9485CFCD427B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HLAVNÍ_VÝSLEDKY!$G$151:$V$151</c:f>
              <c:numCache>
                <c:formatCode>General</c:formatCode>
                <c:ptCount val="16"/>
                <c:pt idx="0">
                  <c:v>8</c:v>
                </c:pt>
                <c:pt idx="1">
                  <c:v>40</c:v>
                </c:pt>
                <c:pt idx="2">
                  <c:v>40</c:v>
                </c:pt>
                <c:pt idx="3">
                  <c:v>344</c:v>
                </c:pt>
                <c:pt idx="4">
                  <c:v>372</c:v>
                </c:pt>
                <c:pt idx="5">
                  <c:v>516</c:v>
                </c:pt>
                <c:pt idx="6">
                  <c:v>592</c:v>
                </c:pt>
                <c:pt idx="7">
                  <c:v>372</c:v>
                </c:pt>
                <c:pt idx="8">
                  <c:v>316</c:v>
                </c:pt>
                <c:pt idx="9">
                  <c:v>312</c:v>
                </c:pt>
                <c:pt idx="10">
                  <c:v>256</c:v>
                </c:pt>
                <c:pt idx="11">
                  <c:v>240</c:v>
                </c:pt>
                <c:pt idx="12">
                  <c:v>256</c:v>
                </c:pt>
                <c:pt idx="13">
                  <c:v>180</c:v>
                </c:pt>
                <c:pt idx="14">
                  <c:v>288</c:v>
                </c:pt>
                <c:pt idx="15">
                  <c:v>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04-4393-9BC1-9485CFCD427B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HLAVNÍ_VÝSLEDKY!$G$152:$V$152</c:f>
              <c:numCache>
                <c:formatCode>General</c:formatCode>
                <c:ptCount val="16"/>
                <c:pt idx="0">
                  <c:v>88</c:v>
                </c:pt>
                <c:pt idx="1">
                  <c:v>216</c:v>
                </c:pt>
                <c:pt idx="2">
                  <c:v>544</c:v>
                </c:pt>
                <c:pt idx="3">
                  <c:v>1180</c:v>
                </c:pt>
                <c:pt idx="4">
                  <c:v>1284</c:v>
                </c:pt>
                <c:pt idx="5">
                  <c:v>928</c:v>
                </c:pt>
                <c:pt idx="6">
                  <c:v>1092</c:v>
                </c:pt>
                <c:pt idx="7">
                  <c:v>992</c:v>
                </c:pt>
                <c:pt idx="8">
                  <c:v>1092</c:v>
                </c:pt>
                <c:pt idx="9">
                  <c:v>1452</c:v>
                </c:pt>
                <c:pt idx="10">
                  <c:v>1152</c:v>
                </c:pt>
                <c:pt idx="11">
                  <c:v>972</c:v>
                </c:pt>
                <c:pt idx="12">
                  <c:v>888</c:v>
                </c:pt>
                <c:pt idx="13">
                  <c:v>1512</c:v>
                </c:pt>
                <c:pt idx="14">
                  <c:v>1692</c:v>
                </c:pt>
                <c:pt idx="15">
                  <c:v>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04-4393-9BC1-9485CFCD427B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HLAVNÍ_VÝSLEDKY!$G$153:$V$153</c:f>
              <c:numCache>
                <c:formatCode>General</c:formatCode>
                <c:ptCount val="16"/>
                <c:pt idx="0">
                  <c:v>72</c:v>
                </c:pt>
                <c:pt idx="1">
                  <c:v>220</c:v>
                </c:pt>
                <c:pt idx="2">
                  <c:v>916</c:v>
                </c:pt>
                <c:pt idx="3">
                  <c:v>1368</c:v>
                </c:pt>
                <c:pt idx="4">
                  <c:v>2608</c:v>
                </c:pt>
                <c:pt idx="5">
                  <c:v>924</c:v>
                </c:pt>
                <c:pt idx="6">
                  <c:v>1260</c:v>
                </c:pt>
                <c:pt idx="7">
                  <c:v>1304</c:v>
                </c:pt>
                <c:pt idx="8">
                  <c:v>1512</c:v>
                </c:pt>
                <c:pt idx="9">
                  <c:v>1536</c:v>
                </c:pt>
                <c:pt idx="10">
                  <c:v>448</c:v>
                </c:pt>
                <c:pt idx="11">
                  <c:v>852</c:v>
                </c:pt>
                <c:pt idx="12">
                  <c:v>984</c:v>
                </c:pt>
                <c:pt idx="13">
                  <c:v>3076</c:v>
                </c:pt>
                <c:pt idx="14">
                  <c:v>2956</c:v>
                </c:pt>
                <c:pt idx="15">
                  <c:v>924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004-4393-9BC1-9485CFCD427B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HLAVNÍ_VÝSLEDKY!$G$154:$V$154</c:f>
              <c:numCache>
                <c:formatCode>General</c:formatCode>
                <c:ptCount val="16"/>
                <c:pt idx="0">
                  <c:v>20</c:v>
                </c:pt>
                <c:pt idx="1">
                  <c:v>88</c:v>
                </c:pt>
                <c:pt idx="2">
                  <c:v>256</c:v>
                </c:pt>
                <c:pt idx="3">
                  <c:v>400</c:v>
                </c:pt>
                <c:pt idx="4">
                  <c:v>492</c:v>
                </c:pt>
                <c:pt idx="5">
                  <c:v>88</c:v>
                </c:pt>
                <c:pt idx="6">
                  <c:v>164</c:v>
                </c:pt>
                <c:pt idx="7">
                  <c:v>204</c:v>
                </c:pt>
                <c:pt idx="8">
                  <c:v>424</c:v>
                </c:pt>
                <c:pt idx="9">
                  <c:v>868</c:v>
                </c:pt>
                <c:pt idx="10">
                  <c:v>372</c:v>
                </c:pt>
                <c:pt idx="11">
                  <c:v>408</c:v>
                </c:pt>
                <c:pt idx="12">
                  <c:v>532</c:v>
                </c:pt>
                <c:pt idx="13">
                  <c:v>408</c:v>
                </c:pt>
                <c:pt idx="14">
                  <c:v>688</c:v>
                </c:pt>
                <c:pt idx="15">
                  <c:v>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004-4393-9BC1-9485CFCD427B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HLAVNÍ_VÝSLEDKY!$G$155:$V$155</c:f>
              <c:numCache>
                <c:formatCode>General</c:formatCode>
                <c:ptCount val="16"/>
                <c:pt idx="0">
                  <c:v>24</c:v>
                </c:pt>
                <c:pt idx="1">
                  <c:v>40</c:v>
                </c:pt>
                <c:pt idx="2">
                  <c:v>324</c:v>
                </c:pt>
                <c:pt idx="3">
                  <c:v>368</c:v>
                </c:pt>
                <c:pt idx="4">
                  <c:v>436</c:v>
                </c:pt>
                <c:pt idx="5">
                  <c:v>372</c:v>
                </c:pt>
                <c:pt idx="6">
                  <c:v>432</c:v>
                </c:pt>
                <c:pt idx="7">
                  <c:v>396</c:v>
                </c:pt>
                <c:pt idx="8">
                  <c:v>384</c:v>
                </c:pt>
                <c:pt idx="9">
                  <c:v>624</c:v>
                </c:pt>
                <c:pt idx="10">
                  <c:v>360</c:v>
                </c:pt>
                <c:pt idx="11">
                  <c:v>748</c:v>
                </c:pt>
                <c:pt idx="12">
                  <c:v>1012</c:v>
                </c:pt>
                <c:pt idx="13">
                  <c:v>760</c:v>
                </c:pt>
                <c:pt idx="14">
                  <c:v>1208</c:v>
                </c:pt>
                <c:pt idx="15">
                  <c:v>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004-4393-9BC1-9485CFCD427B}"/>
            </c:ext>
          </c:extLst>
        </c:ser>
        <c:ser>
          <c:idx val="6"/>
          <c:order val="6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HLAVNÍ_VÝSLEDKY!$G$156:$V$156</c:f>
              <c:numCache>
                <c:formatCode>General</c:formatCode>
                <c:ptCount val="16"/>
                <c:pt idx="0">
                  <c:v>36</c:v>
                </c:pt>
                <c:pt idx="1">
                  <c:v>116</c:v>
                </c:pt>
                <c:pt idx="2">
                  <c:v>648</c:v>
                </c:pt>
                <c:pt idx="3">
                  <c:v>880</c:v>
                </c:pt>
                <c:pt idx="4">
                  <c:v>956</c:v>
                </c:pt>
                <c:pt idx="5">
                  <c:v>980</c:v>
                </c:pt>
                <c:pt idx="6">
                  <c:v>1116</c:v>
                </c:pt>
                <c:pt idx="7">
                  <c:v>964</c:v>
                </c:pt>
                <c:pt idx="8">
                  <c:v>876</c:v>
                </c:pt>
                <c:pt idx="9">
                  <c:v>1128</c:v>
                </c:pt>
                <c:pt idx="10">
                  <c:v>708</c:v>
                </c:pt>
                <c:pt idx="11">
                  <c:v>1076</c:v>
                </c:pt>
                <c:pt idx="12">
                  <c:v>1532</c:v>
                </c:pt>
                <c:pt idx="13">
                  <c:v>1316</c:v>
                </c:pt>
                <c:pt idx="14">
                  <c:v>1876</c:v>
                </c:pt>
                <c:pt idx="15">
                  <c:v>1116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004-4393-9BC1-9485CFCD427B}"/>
            </c:ext>
          </c:extLst>
        </c:ser>
        <c:ser>
          <c:idx val="7"/>
          <c:order val="7"/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HLAVNÍ_VÝSLEDKY!$G$157:$V$157</c:f>
              <c:numCache>
                <c:formatCode>General</c:formatCode>
                <c:ptCount val="16"/>
                <c:pt idx="0">
                  <c:v>80</c:v>
                </c:pt>
                <c:pt idx="1">
                  <c:v>260</c:v>
                </c:pt>
                <c:pt idx="2">
                  <c:v>956</c:v>
                </c:pt>
                <c:pt idx="3">
                  <c:v>1712</c:v>
                </c:pt>
                <c:pt idx="4">
                  <c:v>2980</c:v>
                </c:pt>
                <c:pt idx="5">
                  <c:v>1440</c:v>
                </c:pt>
                <c:pt idx="6">
                  <c:v>1852</c:v>
                </c:pt>
                <c:pt idx="7">
                  <c:v>1676</c:v>
                </c:pt>
                <c:pt idx="8">
                  <c:v>1828</c:v>
                </c:pt>
                <c:pt idx="9">
                  <c:v>1848</c:v>
                </c:pt>
                <c:pt idx="10">
                  <c:v>704</c:v>
                </c:pt>
                <c:pt idx="11">
                  <c:v>1092</c:v>
                </c:pt>
                <c:pt idx="12">
                  <c:v>1240</c:v>
                </c:pt>
                <c:pt idx="13">
                  <c:v>3256</c:v>
                </c:pt>
                <c:pt idx="14">
                  <c:v>3244</c:v>
                </c:pt>
                <c:pt idx="15">
                  <c:v>1160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004-4393-9BC1-9485CFCD427B}"/>
            </c:ext>
          </c:extLst>
        </c:ser>
        <c:ser>
          <c:idx val="8"/>
          <c:order val="8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HLAVNÍ_VÝSLEDKY!$G$158:$V$158</c:f>
              <c:numCache>
                <c:formatCode>General</c:formatCode>
                <c:ptCount val="16"/>
                <c:pt idx="0">
                  <c:v>108</c:v>
                </c:pt>
                <c:pt idx="1">
                  <c:v>304</c:v>
                </c:pt>
                <c:pt idx="2">
                  <c:v>800</c:v>
                </c:pt>
                <c:pt idx="3">
                  <c:v>1580</c:v>
                </c:pt>
                <c:pt idx="4">
                  <c:v>1776</c:v>
                </c:pt>
                <c:pt idx="5">
                  <c:v>1016</c:v>
                </c:pt>
                <c:pt idx="6">
                  <c:v>1256</c:v>
                </c:pt>
                <c:pt idx="7">
                  <c:v>1196</c:v>
                </c:pt>
                <c:pt idx="8">
                  <c:v>1516</c:v>
                </c:pt>
                <c:pt idx="9">
                  <c:v>2320</c:v>
                </c:pt>
                <c:pt idx="10">
                  <c:v>1524</c:v>
                </c:pt>
                <c:pt idx="11">
                  <c:v>1380</c:v>
                </c:pt>
                <c:pt idx="12">
                  <c:v>1420</c:v>
                </c:pt>
                <c:pt idx="13">
                  <c:v>1920</c:v>
                </c:pt>
                <c:pt idx="14">
                  <c:v>2380</c:v>
                </c:pt>
                <c:pt idx="15">
                  <c:v>1136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004-4393-9BC1-9485CFCD42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8532928"/>
        <c:axId val="648533256"/>
      </c:barChart>
      <c:catAx>
        <c:axId val="648532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8533256"/>
        <c:crosses val="autoZero"/>
        <c:auto val="1"/>
        <c:lblAlgn val="ctr"/>
        <c:lblOffset val="100"/>
        <c:noMultiLvlLbl val="0"/>
      </c:catAx>
      <c:valAx>
        <c:axId val="648533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8532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133028679322162E-2"/>
          <c:y val="0.12222222222222222"/>
          <c:w val="0.91587931662874267"/>
          <c:h val="0.4368486439195100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HLAVNÍ_VÝSLEDKY!$G$159:$V$159</c:f>
              <c:numCache>
                <c:formatCode>General</c:formatCode>
                <c:ptCount val="16"/>
                <c:pt idx="0">
                  <c:v>16</c:v>
                </c:pt>
                <c:pt idx="1">
                  <c:v>60</c:v>
                </c:pt>
                <c:pt idx="2">
                  <c:v>196</c:v>
                </c:pt>
                <c:pt idx="3">
                  <c:v>232</c:v>
                </c:pt>
                <c:pt idx="4">
                  <c:v>324</c:v>
                </c:pt>
                <c:pt idx="5">
                  <c:v>448</c:v>
                </c:pt>
                <c:pt idx="6">
                  <c:v>132</c:v>
                </c:pt>
                <c:pt idx="7">
                  <c:v>460</c:v>
                </c:pt>
                <c:pt idx="8">
                  <c:v>316</c:v>
                </c:pt>
                <c:pt idx="9">
                  <c:v>220</c:v>
                </c:pt>
                <c:pt idx="10">
                  <c:v>168</c:v>
                </c:pt>
                <c:pt idx="11">
                  <c:v>148</c:v>
                </c:pt>
                <c:pt idx="12">
                  <c:v>184</c:v>
                </c:pt>
                <c:pt idx="13">
                  <c:v>412</c:v>
                </c:pt>
                <c:pt idx="14">
                  <c:v>444</c:v>
                </c:pt>
                <c:pt idx="15">
                  <c:v>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FC-44F4-A1C0-2C5EF47D0152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HLAVNÍ_VÝSLEDKY!$G$160:$V$160</c:f>
              <c:numCache>
                <c:formatCode>General</c:formatCode>
                <c:ptCount val="16"/>
                <c:pt idx="0">
                  <c:v>28</c:v>
                </c:pt>
                <c:pt idx="1">
                  <c:v>72</c:v>
                </c:pt>
                <c:pt idx="2">
                  <c:v>140</c:v>
                </c:pt>
                <c:pt idx="3">
                  <c:v>196</c:v>
                </c:pt>
                <c:pt idx="4">
                  <c:v>544</c:v>
                </c:pt>
                <c:pt idx="5">
                  <c:v>232</c:v>
                </c:pt>
                <c:pt idx="6">
                  <c:v>248</c:v>
                </c:pt>
                <c:pt idx="7">
                  <c:v>148</c:v>
                </c:pt>
                <c:pt idx="8">
                  <c:v>208</c:v>
                </c:pt>
                <c:pt idx="9">
                  <c:v>328</c:v>
                </c:pt>
                <c:pt idx="10">
                  <c:v>276</c:v>
                </c:pt>
                <c:pt idx="11">
                  <c:v>188</c:v>
                </c:pt>
                <c:pt idx="12">
                  <c:v>160</c:v>
                </c:pt>
                <c:pt idx="13">
                  <c:v>316</c:v>
                </c:pt>
                <c:pt idx="14">
                  <c:v>344</c:v>
                </c:pt>
                <c:pt idx="15">
                  <c:v>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FC-44F4-A1C0-2C5EF47D0152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HLAVNÍ_VÝSLEDKY!$G$161:$V$161</c:f>
              <c:numCache>
                <c:formatCode>General</c:formatCode>
                <c:ptCount val="16"/>
                <c:pt idx="0">
                  <c:v>72</c:v>
                </c:pt>
                <c:pt idx="1">
                  <c:v>124</c:v>
                </c:pt>
                <c:pt idx="2">
                  <c:v>144</c:v>
                </c:pt>
                <c:pt idx="3">
                  <c:v>216</c:v>
                </c:pt>
                <c:pt idx="4">
                  <c:v>96</c:v>
                </c:pt>
                <c:pt idx="5">
                  <c:v>352</c:v>
                </c:pt>
                <c:pt idx="6">
                  <c:v>228</c:v>
                </c:pt>
                <c:pt idx="7">
                  <c:v>136</c:v>
                </c:pt>
                <c:pt idx="8">
                  <c:v>136</c:v>
                </c:pt>
                <c:pt idx="9">
                  <c:v>148</c:v>
                </c:pt>
                <c:pt idx="10">
                  <c:v>140</c:v>
                </c:pt>
                <c:pt idx="11">
                  <c:v>124</c:v>
                </c:pt>
                <c:pt idx="12">
                  <c:v>96</c:v>
                </c:pt>
                <c:pt idx="13">
                  <c:v>40</c:v>
                </c:pt>
                <c:pt idx="14">
                  <c:v>64</c:v>
                </c:pt>
                <c:pt idx="15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FC-44F4-A1C0-2C5EF47D0152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HLAVNÍ_VÝSLEDKY!$G$162:$V$162</c:f>
              <c:numCache>
                <c:formatCode>General</c:formatCode>
                <c:ptCount val="16"/>
                <c:pt idx="0">
                  <c:v>40</c:v>
                </c:pt>
                <c:pt idx="1">
                  <c:v>80</c:v>
                </c:pt>
                <c:pt idx="2">
                  <c:v>168</c:v>
                </c:pt>
                <c:pt idx="3">
                  <c:v>196</c:v>
                </c:pt>
                <c:pt idx="4">
                  <c:v>268</c:v>
                </c:pt>
                <c:pt idx="5">
                  <c:v>228</c:v>
                </c:pt>
                <c:pt idx="6">
                  <c:v>264</c:v>
                </c:pt>
                <c:pt idx="7">
                  <c:v>60</c:v>
                </c:pt>
                <c:pt idx="8">
                  <c:v>148</c:v>
                </c:pt>
                <c:pt idx="9">
                  <c:v>120</c:v>
                </c:pt>
                <c:pt idx="10">
                  <c:v>108</c:v>
                </c:pt>
                <c:pt idx="11">
                  <c:v>88</c:v>
                </c:pt>
                <c:pt idx="12">
                  <c:v>84</c:v>
                </c:pt>
                <c:pt idx="13">
                  <c:v>156</c:v>
                </c:pt>
                <c:pt idx="14">
                  <c:v>96</c:v>
                </c:pt>
                <c:pt idx="15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8FC-44F4-A1C0-2C5EF47D0152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HLAVNÍ_VÝSLEDKY!$G$163:$V$163</c:f>
              <c:numCache>
                <c:formatCode>General</c:formatCode>
                <c:ptCount val="16"/>
                <c:pt idx="0">
                  <c:v>68</c:v>
                </c:pt>
                <c:pt idx="1">
                  <c:v>152</c:v>
                </c:pt>
                <c:pt idx="2">
                  <c:v>308</c:v>
                </c:pt>
                <c:pt idx="3">
                  <c:v>392</c:v>
                </c:pt>
                <c:pt idx="4">
                  <c:v>812</c:v>
                </c:pt>
                <c:pt idx="5">
                  <c:v>460</c:v>
                </c:pt>
                <c:pt idx="6">
                  <c:v>512</c:v>
                </c:pt>
                <c:pt idx="7">
                  <c:v>208</c:v>
                </c:pt>
                <c:pt idx="8">
                  <c:v>356</c:v>
                </c:pt>
                <c:pt idx="9">
                  <c:v>448</c:v>
                </c:pt>
                <c:pt idx="10">
                  <c:v>384</c:v>
                </c:pt>
                <c:pt idx="11">
                  <c:v>276</c:v>
                </c:pt>
                <c:pt idx="12">
                  <c:v>244</c:v>
                </c:pt>
                <c:pt idx="13">
                  <c:v>472</c:v>
                </c:pt>
                <c:pt idx="14">
                  <c:v>440</c:v>
                </c:pt>
                <c:pt idx="15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8FC-44F4-A1C0-2C5EF47D0152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HLAVNÍ_VÝSLEDKY!$G$164:$V$164</c:f>
              <c:numCache>
                <c:formatCode>General</c:formatCode>
                <c:ptCount val="16"/>
                <c:pt idx="0">
                  <c:v>88</c:v>
                </c:pt>
                <c:pt idx="1">
                  <c:v>184</c:v>
                </c:pt>
                <c:pt idx="2">
                  <c:v>340</c:v>
                </c:pt>
                <c:pt idx="3">
                  <c:v>448</c:v>
                </c:pt>
                <c:pt idx="4">
                  <c:v>420</c:v>
                </c:pt>
                <c:pt idx="5">
                  <c:v>800</c:v>
                </c:pt>
                <c:pt idx="6">
                  <c:v>360</c:v>
                </c:pt>
                <c:pt idx="7">
                  <c:v>596</c:v>
                </c:pt>
                <c:pt idx="8">
                  <c:v>452</c:v>
                </c:pt>
                <c:pt idx="9">
                  <c:v>368</c:v>
                </c:pt>
                <c:pt idx="10">
                  <c:v>308</c:v>
                </c:pt>
                <c:pt idx="11">
                  <c:v>272</c:v>
                </c:pt>
                <c:pt idx="12">
                  <c:v>280</c:v>
                </c:pt>
                <c:pt idx="13">
                  <c:v>452</c:v>
                </c:pt>
                <c:pt idx="14">
                  <c:v>508</c:v>
                </c:pt>
                <c:pt idx="15">
                  <c:v>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8FC-44F4-A1C0-2C5EF47D01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8514232"/>
        <c:axId val="648514888"/>
      </c:barChart>
      <c:catAx>
        <c:axId val="648514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8514888"/>
        <c:crosses val="autoZero"/>
        <c:auto val="1"/>
        <c:lblAlgn val="ctr"/>
        <c:lblOffset val="100"/>
        <c:noMultiLvlLbl val="0"/>
      </c:catAx>
      <c:valAx>
        <c:axId val="648514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8514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432691825210842E-2"/>
          <c:y val="8.1481481481481488E-2"/>
          <c:w val="0.92457965348285398"/>
          <c:h val="0.600681248177311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HLAVNÍ_VÝSLEDKY!$G$165:$V$165</c:f>
              <c:numCache>
                <c:formatCode>General</c:formatCode>
                <c:ptCount val="16"/>
                <c:pt idx="0">
                  <c:v>0</c:v>
                </c:pt>
                <c:pt idx="1">
                  <c:v>8</c:v>
                </c:pt>
                <c:pt idx="2">
                  <c:v>48</c:v>
                </c:pt>
                <c:pt idx="3">
                  <c:v>40</c:v>
                </c:pt>
                <c:pt idx="4">
                  <c:v>12</c:v>
                </c:pt>
                <c:pt idx="5">
                  <c:v>48</c:v>
                </c:pt>
                <c:pt idx="6">
                  <c:v>24</c:v>
                </c:pt>
                <c:pt idx="7">
                  <c:v>48</c:v>
                </c:pt>
                <c:pt idx="8">
                  <c:v>28</c:v>
                </c:pt>
                <c:pt idx="9">
                  <c:v>16</c:v>
                </c:pt>
                <c:pt idx="10">
                  <c:v>20</c:v>
                </c:pt>
                <c:pt idx="11">
                  <c:v>12</c:v>
                </c:pt>
                <c:pt idx="12">
                  <c:v>24</c:v>
                </c:pt>
                <c:pt idx="13">
                  <c:v>8</c:v>
                </c:pt>
                <c:pt idx="14">
                  <c:v>40</c:v>
                </c:pt>
                <c:pt idx="1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CF-4B32-84D0-A9CDFCF36814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HLAVNÍ_VÝSLEDKY!$G$166:$V$166</c:f>
              <c:numCache>
                <c:formatCode>General</c:formatCode>
                <c:ptCount val="16"/>
                <c:pt idx="0">
                  <c:v>12</c:v>
                </c:pt>
                <c:pt idx="1">
                  <c:v>32</c:v>
                </c:pt>
                <c:pt idx="2">
                  <c:v>24</c:v>
                </c:pt>
                <c:pt idx="3">
                  <c:v>24</c:v>
                </c:pt>
                <c:pt idx="4">
                  <c:v>16</c:v>
                </c:pt>
                <c:pt idx="5">
                  <c:v>32</c:v>
                </c:pt>
                <c:pt idx="6">
                  <c:v>40</c:v>
                </c:pt>
                <c:pt idx="7">
                  <c:v>20</c:v>
                </c:pt>
                <c:pt idx="8">
                  <c:v>8</c:v>
                </c:pt>
                <c:pt idx="9">
                  <c:v>28</c:v>
                </c:pt>
                <c:pt idx="10">
                  <c:v>16</c:v>
                </c:pt>
                <c:pt idx="11">
                  <c:v>16</c:v>
                </c:pt>
                <c:pt idx="12">
                  <c:v>52</c:v>
                </c:pt>
                <c:pt idx="13">
                  <c:v>12</c:v>
                </c:pt>
                <c:pt idx="14">
                  <c:v>36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CF-4B32-84D0-A9CDFCF36814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HLAVNÍ_VÝSLEDKY!$G$167:$V$167</c:f>
              <c:numCache>
                <c:formatCode>General</c:formatCode>
                <c:ptCount val="16"/>
                <c:pt idx="0">
                  <c:v>20</c:v>
                </c:pt>
                <c:pt idx="1">
                  <c:v>48</c:v>
                </c:pt>
                <c:pt idx="2">
                  <c:v>28</c:v>
                </c:pt>
                <c:pt idx="3">
                  <c:v>16</c:v>
                </c:pt>
                <c:pt idx="4">
                  <c:v>204</c:v>
                </c:pt>
                <c:pt idx="5">
                  <c:v>224</c:v>
                </c:pt>
                <c:pt idx="6">
                  <c:v>100</c:v>
                </c:pt>
                <c:pt idx="7">
                  <c:v>124</c:v>
                </c:pt>
                <c:pt idx="8">
                  <c:v>76</c:v>
                </c:pt>
                <c:pt idx="9">
                  <c:v>148</c:v>
                </c:pt>
                <c:pt idx="10">
                  <c:v>120</c:v>
                </c:pt>
                <c:pt idx="11">
                  <c:v>88</c:v>
                </c:pt>
                <c:pt idx="12">
                  <c:v>84</c:v>
                </c:pt>
                <c:pt idx="13">
                  <c:v>40</c:v>
                </c:pt>
                <c:pt idx="14">
                  <c:v>92</c:v>
                </c:pt>
                <c:pt idx="15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CF-4B32-84D0-A9CDFCF36814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HLAVNÍ_VÝSLEDKY!$G$168:$V$168</c:f>
              <c:numCache>
                <c:formatCode>General</c:formatCode>
                <c:ptCount val="16"/>
                <c:pt idx="0">
                  <c:v>0</c:v>
                </c:pt>
                <c:pt idx="1">
                  <c:v>72</c:v>
                </c:pt>
                <c:pt idx="2">
                  <c:v>40</c:v>
                </c:pt>
                <c:pt idx="3">
                  <c:v>52</c:v>
                </c:pt>
                <c:pt idx="4">
                  <c:v>412</c:v>
                </c:pt>
                <c:pt idx="5">
                  <c:v>448</c:v>
                </c:pt>
                <c:pt idx="6">
                  <c:v>172</c:v>
                </c:pt>
                <c:pt idx="7">
                  <c:v>124</c:v>
                </c:pt>
                <c:pt idx="8">
                  <c:v>132</c:v>
                </c:pt>
                <c:pt idx="9">
                  <c:v>72</c:v>
                </c:pt>
                <c:pt idx="10">
                  <c:v>76</c:v>
                </c:pt>
                <c:pt idx="11">
                  <c:v>52</c:v>
                </c:pt>
                <c:pt idx="12">
                  <c:v>156</c:v>
                </c:pt>
                <c:pt idx="13">
                  <c:v>28</c:v>
                </c:pt>
                <c:pt idx="14">
                  <c:v>112</c:v>
                </c:pt>
                <c:pt idx="15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ACF-4B32-84D0-A9CDFCF36814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HLAVNÍ_VÝSLEDKY!$G$169:$V$169</c:f>
              <c:numCache>
                <c:formatCode>General</c:formatCode>
                <c:ptCount val="16"/>
                <c:pt idx="0">
                  <c:v>20</c:v>
                </c:pt>
                <c:pt idx="1">
                  <c:v>80</c:v>
                </c:pt>
                <c:pt idx="2">
                  <c:v>168</c:v>
                </c:pt>
                <c:pt idx="3">
                  <c:v>184</c:v>
                </c:pt>
                <c:pt idx="4">
                  <c:v>364</c:v>
                </c:pt>
                <c:pt idx="5">
                  <c:v>424</c:v>
                </c:pt>
                <c:pt idx="6">
                  <c:v>268</c:v>
                </c:pt>
                <c:pt idx="7">
                  <c:v>388</c:v>
                </c:pt>
                <c:pt idx="8">
                  <c:v>252</c:v>
                </c:pt>
                <c:pt idx="9">
                  <c:v>216</c:v>
                </c:pt>
                <c:pt idx="10">
                  <c:v>164</c:v>
                </c:pt>
                <c:pt idx="11">
                  <c:v>128</c:v>
                </c:pt>
                <c:pt idx="12">
                  <c:v>208</c:v>
                </c:pt>
                <c:pt idx="13">
                  <c:v>232</c:v>
                </c:pt>
                <c:pt idx="14">
                  <c:v>248</c:v>
                </c:pt>
                <c:pt idx="15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ACF-4B32-84D0-A9CDFCF36814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HLAVNÍ_VÝSLEDKY!$G$170:$V$170</c:f>
              <c:numCache>
                <c:formatCode>General</c:formatCode>
                <c:ptCount val="16"/>
                <c:pt idx="0">
                  <c:v>12</c:v>
                </c:pt>
                <c:pt idx="1">
                  <c:v>64</c:v>
                </c:pt>
                <c:pt idx="2">
                  <c:v>204</c:v>
                </c:pt>
                <c:pt idx="3">
                  <c:v>288</c:v>
                </c:pt>
                <c:pt idx="4">
                  <c:v>540</c:v>
                </c:pt>
                <c:pt idx="5">
                  <c:v>568</c:v>
                </c:pt>
                <c:pt idx="6">
                  <c:v>252</c:v>
                </c:pt>
                <c:pt idx="7">
                  <c:v>592</c:v>
                </c:pt>
                <c:pt idx="8">
                  <c:v>480</c:v>
                </c:pt>
                <c:pt idx="9">
                  <c:v>336</c:v>
                </c:pt>
                <c:pt idx="10">
                  <c:v>272</c:v>
                </c:pt>
                <c:pt idx="11">
                  <c:v>264</c:v>
                </c:pt>
                <c:pt idx="12">
                  <c:v>292</c:v>
                </c:pt>
                <c:pt idx="13">
                  <c:v>328</c:v>
                </c:pt>
                <c:pt idx="14">
                  <c:v>344</c:v>
                </c:pt>
                <c:pt idx="15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ACF-4B32-84D0-A9CDFCF36814}"/>
            </c:ext>
          </c:extLst>
        </c:ser>
        <c:ser>
          <c:idx val="6"/>
          <c:order val="6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HLAVNÍ_VÝSLEDKY!$G$171:$V$171</c:f>
              <c:numCache>
                <c:formatCode>General</c:formatCode>
                <c:ptCount val="16"/>
                <c:pt idx="0">
                  <c:v>12</c:v>
                </c:pt>
                <c:pt idx="1">
                  <c:v>104</c:v>
                </c:pt>
                <c:pt idx="2">
                  <c:v>64</c:v>
                </c:pt>
                <c:pt idx="3">
                  <c:v>76</c:v>
                </c:pt>
                <c:pt idx="4">
                  <c:v>428</c:v>
                </c:pt>
                <c:pt idx="5">
                  <c:v>480</c:v>
                </c:pt>
                <c:pt idx="6">
                  <c:v>212</c:v>
                </c:pt>
                <c:pt idx="7">
                  <c:v>144</c:v>
                </c:pt>
                <c:pt idx="8">
                  <c:v>140</c:v>
                </c:pt>
                <c:pt idx="9">
                  <c:v>100</c:v>
                </c:pt>
                <c:pt idx="10">
                  <c:v>92</c:v>
                </c:pt>
                <c:pt idx="11">
                  <c:v>68</c:v>
                </c:pt>
                <c:pt idx="12">
                  <c:v>208</c:v>
                </c:pt>
                <c:pt idx="13">
                  <c:v>40</c:v>
                </c:pt>
                <c:pt idx="14">
                  <c:v>148</c:v>
                </c:pt>
                <c:pt idx="15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ACF-4B32-84D0-A9CDFCF36814}"/>
            </c:ext>
          </c:extLst>
        </c:ser>
        <c:ser>
          <c:idx val="7"/>
          <c:order val="7"/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HLAVNÍ_VÝSLEDKY!$G$172:$V$172</c:f>
              <c:numCache>
                <c:formatCode>General</c:formatCode>
                <c:ptCount val="16"/>
                <c:pt idx="0">
                  <c:v>12</c:v>
                </c:pt>
                <c:pt idx="1">
                  <c:v>72</c:v>
                </c:pt>
                <c:pt idx="2">
                  <c:v>252</c:v>
                </c:pt>
                <c:pt idx="3">
                  <c:v>328</c:v>
                </c:pt>
                <c:pt idx="4">
                  <c:v>552</c:v>
                </c:pt>
                <c:pt idx="5">
                  <c:v>616</c:v>
                </c:pt>
                <c:pt idx="6">
                  <c:v>276</c:v>
                </c:pt>
                <c:pt idx="7">
                  <c:v>640</c:v>
                </c:pt>
                <c:pt idx="8">
                  <c:v>508</c:v>
                </c:pt>
                <c:pt idx="9">
                  <c:v>352</c:v>
                </c:pt>
                <c:pt idx="10">
                  <c:v>292</c:v>
                </c:pt>
                <c:pt idx="11">
                  <c:v>276</c:v>
                </c:pt>
                <c:pt idx="12">
                  <c:v>316</c:v>
                </c:pt>
                <c:pt idx="13">
                  <c:v>336</c:v>
                </c:pt>
                <c:pt idx="14">
                  <c:v>384</c:v>
                </c:pt>
                <c:pt idx="15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ACF-4B32-84D0-A9CDFCF36814}"/>
            </c:ext>
          </c:extLst>
        </c:ser>
        <c:ser>
          <c:idx val="8"/>
          <c:order val="8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HLAVNÍ_VÝSLEDKY!$G$173:$V$173</c:f>
              <c:numCache>
                <c:formatCode>General</c:formatCode>
                <c:ptCount val="16"/>
                <c:pt idx="0">
                  <c:v>40</c:v>
                </c:pt>
                <c:pt idx="1">
                  <c:v>128</c:v>
                </c:pt>
                <c:pt idx="2">
                  <c:v>196</c:v>
                </c:pt>
                <c:pt idx="3">
                  <c:v>200</c:v>
                </c:pt>
                <c:pt idx="4">
                  <c:v>568</c:v>
                </c:pt>
                <c:pt idx="5">
                  <c:v>648</c:v>
                </c:pt>
                <c:pt idx="6">
                  <c:v>368</c:v>
                </c:pt>
                <c:pt idx="7">
                  <c:v>512</c:v>
                </c:pt>
                <c:pt idx="8">
                  <c:v>328</c:v>
                </c:pt>
                <c:pt idx="9">
                  <c:v>364</c:v>
                </c:pt>
                <c:pt idx="10">
                  <c:v>284</c:v>
                </c:pt>
                <c:pt idx="11">
                  <c:v>216</c:v>
                </c:pt>
                <c:pt idx="12">
                  <c:v>292</c:v>
                </c:pt>
                <c:pt idx="13">
                  <c:v>272</c:v>
                </c:pt>
                <c:pt idx="14">
                  <c:v>340</c:v>
                </c:pt>
                <c:pt idx="15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ACF-4B32-84D0-A9CDFCF368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9818232"/>
        <c:axId val="659820528"/>
      </c:barChart>
      <c:catAx>
        <c:axId val="659818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9820528"/>
        <c:crosses val="autoZero"/>
        <c:auto val="1"/>
        <c:lblAlgn val="ctr"/>
        <c:lblOffset val="100"/>
        <c:noMultiLvlLbl val="0"/>
      </c:catAx>
      <c:valAx>
        <c:axId val="659820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9818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133028679322162E-2"/>
          <c:y val="8.1481481481481488E-2"/>
          <c:w val="0.91587931662874267"/>
          <c:h val="0.624565762613006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HLAVNÍ_VÝSLEDKY!$G$174:$V$174</c:f>
              <c:numCache>
                <c:formatCode>General</c:formatCode>
                <c:ptCount val="16"/>
                <c:pt idx="0">
                  <c:v>16</c:v>
                </c:pt>
                <c:pt idx="1">
                  <c:v>48</c:v>
                </c:pt>
                <c:pt idx="2">
                  <c:v>148</c:v>
                </c:pt>
                <c:pt idx="3">
                  <c:v>168</c:v>
                </c:pt>
                <c:pt idx="4">
                  <c:v>448</c:v>
                </c:pt>
                <c:pt idx="5">
                  <c:v>424</c:v>
                </c:pt>
                <c:pt idx="6">
                  <c:v>132</c:v>
                </c:pt>
                <c:pt idx="7">
                  <c:v>48</c:v>
                </c:pt>
                <c:pt idx="8">
                  <c:v>100</c:v>
                </c:pt>
                <c:pt idx="9">
                  <c:v>120</c:v>
                </c:pt>
                <c:pt idx="10">
                  <c:v>104</c:v>
                </c:pt>
                <c:pt idx="11">
                  <c:v>96</c:v>
                </c:pt>
                <c:pt idx="12">
                  <c:v>152</c:v>
                </c:pt>
                <c:pt idx="13">
                  <c:v>72</c:v>
                </c:pt>
                <c:pt idx="14">
                  <c:v>104</c:v>
                </c:pt>
                <c:pt idx="15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80-4DAE-B42A-84DFD3BB76F0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HLAVNÍ_VÝSLEDKY!$G$175:$V$175</c:f>
              <c:numCache>
                <c:formatCode>General</c:formatCode>
                <c:ptCount val="16"/>
                <c:pt idx="0">
                  <c:v>36</c:v>
                </c:pt>
                <c:pt idx="1">
                  <c:v>56</c:v>
                </c:pt>
                <c:pt idx="2">
                  <c:v>96</c:v>
                </c:pt>
                <c:pt idx="3">
                  <c:v>112</c:v>
                </c:pt>
                <c:pt idx="4">
                  <c:v>292</c:v>
                </c:pt>
                <c:pt idx="5">
                  <c:v>348</c:v>
                </c:pt>
                <c:pt idx="6">
                  <c:v>28</c:v>
                </c:pt>
                <c:pt idx="7">
                  <c:v>84</c:v>
                </c:pt>
                <c:pt idx="8">
                  <c:v>76</c:v>
                </c:pt>
                <c:pt idx="9">
                  <c:v>96</c:v>
                </c:pt>
                <c:pt idx="10">
                  <c:v>76</c:v>
                </c:pt>
                <c:pt idx="11">
                  <c:v>68</c:v>
                </c:pt>
                <c:pt idx="12">
                  <c:v>92</c:v>
                </c:pt>
                <c:pt idx="13">
                  <c:v>40</c:v>
                </c:pt>
                <c:pt idx="14">
                  <c:v>44</c:v>
                </c:pt>
                <c:pt idx="15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80-4DAE-B42A-84DFD3BB76F0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HLAVNÍ_VÝSLEDKY!$G$176:$V$176</c:f>
              <c:numCache>
                <c:formatCode>General</c:formatCode>
                <c:ptCount val="16"/>
                <c:pt idx="0">
                  <c:v>12</c:v>
                </c:pt>
                <c:pt idx="1">
                  <c:v>116</c:v>
                </c:pt>
                <c:pt idx="2">
                  <c:v>420</c:v>
                </c:pt>
                <c:pt idx="3">
                  <c:v>508</c:v>
                </c:pt>
                <c:pt idx="4">
                  <c:v>340</c:v>
                </c:pt>
                <c:pt idx="5">
                  <c:v>328</c:v>
                </c:pt>
                <c:pt idx="6">
                  <c:v>408</c:v>
                </c:pt>
                <c:pt idx="7">
                  <c:v>228</c:v>
                </c:pt>
                <c:pt idx="8">
                  <c:v>304</c:v>
                </c:pt>
                <c:pt idx="9">
                  <c:v>204</c:v>
                </c:pt>
                <c:pt idx="10">
                  <c:v>172</c:v>
                </c:pt>
                <c:pt idx="11">
                  <c:v>156</c:v>
                </c:pt>
                <c:pt idx="12">
                  <c:v>204</c:v>
                </c:pt>
                <c:pt idx="13">
                  <c:v>204</c:v>
                </c:pt>
                <c:pt idx="14">
                  <c:v>252</c:v>
                </c:pt>
                <c:pt idx="15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80-4DAE-B42A-84DFD3BB76F0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HLAVNÍ_VÝSLEDKY!$G$177:$V$177</c:f>
              <c:numCache>
                <c:formatCode>General</c:formatCode>
                <c:ptCount val="16"/>
                <c:pt idx="0">
                  <c:v>24</c:v>
                </c:pt>
                <c:pt idx="1">
                  <c:v>52</c:v>
                </c:pt>
                <c:pt idx="2">
                  <c:v>84</c:v>
                </c:pt>
                <c:pt idx="3">
                  <c:v>52</c:v>
                </c:pt>
                <c:pt idx="4">
                  <c:v>436</c:v>
                </c:pt>
                <c:pt idx="5">
                  <c:v>124</c:v>
                </c:pt>
                <c:pt idx="6">
                  <c:v>60</c:v>
                </c:pt>
                <c:pt idx="7">
                  <c:v>72</c:v>
                </c:pt>
                <c:pt idx="8">
                  <c:v>132</c:v>
                </c:pt>
                <c:pt idx="9">
                  <c:v>88</c:v>
                </c:pt>
                <c:pt idx="10">
                  <c:v>80</c:v>
                </c:pt>
                <c:pt idx="11">
                  <c:v>68</c:v>
                </c:pt>
                <c:pt idx="12">
                  <c:v>112</c:v>
                </c:pt>
                <c:pt idx="13">
                  <c:v>156</c:v>
                </c:pt>
                <c:pt idx="14">
                  <c:v>156</c:v>
                </c:pt>
                <c:pt idx="15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180-4DAE-B42A-84DFD3BB76F0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HLAVNÍ_VÝSLEDKY!$G$178:$V$178</c:f>
              <c:numCache>
                <c:formatCode>General</c:formatCode>
                <c:ptCount val="16"/>
                <c:pt idx="0">
                  <c:v>72</c:v>
                </c:pt>
                <c:pt idx="1">
                  <c:v>132</c:v>
                </c:pt>
                <c:pt idx="2">
                  <c:v>196</c:v>
                </c:pt>
                <c:pt idx="3">
                  <c:v>228</c:v>
                </c:pt>
                <c:pt idx="4">
                  <c:v>372</c:v>
                </c:pt>
                <c:pt idx="5">
                  <c:v>408</c:v>
                </c:pt>
                <c:pt idx="6">
                  <c:v>436</c:v>
                </c:pt>
                <c:pt idx="7">
                  <c:v>672</c:v>
                </c:pt>
                <c:pt idx="8">
                  <c:v>516</c:v>
                </c:pt>
                <c:pt idx="9">
                  <c:v>676</c:v>
                </c:pt>
                <c:pt idx="10">
                  <c:v>556</c:v>
                </c:pt>
                <c:pt idx="11">
                  <c:v>532</c:v>
                </c:pt>
                <c:pt idx="12">
                  <c:v>644</c:v>
                </c:pt>
                <c:pt idx="13">
                  <c:v>460</c:v>
                </c:pt>
                <c:pt idx="14">
                  <c:v>580</c:v>
                </c:pt>
                <c:pt idx="15">
                  <c:v>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180-4DAE-B42A-84DFD3BB76F0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HLAVNÍ_VÝSLEDKY!$G$179:$V$179</c:f>
              <c:numCache>
                <c:formatCode>General</c:formatCode>
                <c:ptCount val="16"/>
                <c:pt idx="0">
                  <c:v>40</c:v>
                </c:pt>
                <c:pt idx="1">
                  <c:v>92</c:v>
                </c:pt>
                <c:pt idx="2">
                  <c:v>272</c:v>
                </c:pt>
                <c:pt idx="3">
                  <c:v>664</c:v>
                </c:pt>
                <c:pt idx="4">
                  <c:v>760</c:v>
                </c:pt>
                <c:pt idx="5">
                  <c:v>812</c:v>
                </c:pt>
                <c:pt idx="6">
                  <c:v>780</c:v>
                </c:pt>
                <c:pt idx="7">
                  <c:v>556</c:v>
                </c:pt>
                <c:pt idx="8">
                  <c:v>636</c:v>
                </c:pt>
                <c:pt idx="9">
                  <c:v>468</c:v>
                </c:pt>
                <c:pt idx="10">
                  <c:v>448</c:v>
                </c:pt>
                <c:pt idx="11">
                  <c:v>424</c:v>
                </c:pt>
                <c:pt idx="12">
                  <c:v>560</c:v>
                </c:pt>
                <c:pt idx="13">
                  <c:v>648</c:v>
                </c:pt>
                <c:pt idx="14">
                  <c:v>664</c:v>
                </c:pt>
                <c:pt idx="15">
                  <c:v>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180-4DAE-B42A-84DFD3BB76F0}"/>
            </c:ext>
          </c:extLst>
        </c:ser>
        <c:ser>
          <c:idx val="6"/>
          <c:order val="6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HLAVNÍ_VÝSLEDKY!$G$180:$V$180</c:f>
              <c:numCache>
                <c:formatCode>General</c:formatCode>
                <c:ptCount val="16"/>
                <c:pt idx="0">
                  <c:v>60</c:v>
                </c:pt>
                <c:pt idx="1">
                  <c:v>108</c:v>
                </c:pt>
                <c:pt idx="2">
                  <c:v>180</c:v>
                </c:pt>
                <c:pt idx="3">
                  <c:v>164</c:v>
                </c:pt>
                <c:pt idx="4">
                  <c:v>728</c:v>
                </c:pt>
                <c:pt idx="5">
                  <c:v>472</c:v>
                </c:pt>
                <c:pt idx="6">
                  <c:v>88</c:v>
                </c:pt>
                <c:pt idx="7">
                  <c:v>156</c:v>
                </c:pt>
                <c:pt idx="8">
                  <c:v>208</c:v>
                </c:pt>
                <c:pt idx="9">
                  <c:v>184</c:v>
                </c:pt>
                <c:pt idx="10">
                  <c:v>156</c:v>
                </c:pt>
                <c:pt idx="11">
                  <c:v>136</c:v>
                </c:pt>
                <c:pt idx="12">
                  <c:v>204</c:v>
                </c:pt>
                <c:pt idx="13">
                  <c:v>196</c:v>
                </c:pt>
                <c:pt idx="14">
                  <c:v>200</c:v>
                </c:pt>
                <c:pt idx="15">
                  <c:v>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180-4DAE-B42A-84DFD3BB76F0}"/>
            </c:ext>
          </c:extLst>
        </c:ser>
        <c:ser>
          <c:idx val="7"/>
          <c:order val="7"/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HLAVNÍ_VÝSLEDKY!$G$181:$V$181</c:f>
              <c:numCache>
                <c:formatCode>General</c:formatCode>
                <c:ptCount val="16"/>
                <c:pt idx="0">
                  <c:v>84</c:v>
                </c:pt>
                <c:pt idx="1">
                  <c:v>248</c:v>
                </c:pt>
                <c:pt idx="2">
                  <c:v>616</c:v>
                </c:pt>
                <c:pt idx="3">
                  <c:v>736</c:v>
                </c:pt>
                <c:pt idx="4">
                  <c:v>712</c:v>
                </c:pt>
                <c:pt idx="5">
                  <c:v>736</c:v>
                </c:pt>
                <c:pt idx="6">
                  <c:v>844</c:v>
                </c:pt>
                <c:pt idx="7">
                  <c:v>900</c:v>
                </c:pt>
                <c:pt idx="8">
                  <c:v>820</c:v>
                </c:pt>
                <c:pt idx="9">
                  <c:v>880</c:v>
                </c:pt>
                <c:pt idx="10">
                  <c:v>728</c:v>
                </c:pt>
                <c:pt idx="11">
                  <c:v>688</c:v>
                </c:pt>
                <c:pt idx="12">
                  <c:v>848</c:v>
                </c:pt>
                <c:pt idx="13">
                  <c:v>664</c:v>
                </c:pt>
                <c:pt idx="14">
                  <c:v>832</c:v>
                </c:pt>
                <c:pt idx="15">
                  <c:v>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180-4DAE-B42A-84DFD3BB76F0}"/>
            </c:ext>
          </c:extLst>
        </c:ser>
        <c:ser>
          <c:idx val="8"/>
          <c:order val="8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HLAVNÍ_VÝSLEDKY!$G$182:$V$182</c:f>
              <c:numCache>
                <c:formatCode>General</c:formatCode>
                <c:ptCount val="16"/>
                <c:pt idx="0">
                  <c:v>56</c:v>
                </c:pt>
                <c:pt idx="1">
                  <c:v>140</c:v>
                </c:pt>
                <c:pt idx="2">
                  <c:v>420</c:v>
                </c:pt>
                <c:pt idx="3">
                  <c:v>832</c:v>
                </c:pt>
                <c:pt idx="4">
                  <c:v>1208</c:v>
                </c:pt>
                <c:pt idx="5">
                  <c:v>1236</c:v>
                </c:pt>
                <c:pt idx="6">
                  <c:v>912</c:v>
                </c:pt>
                <c:pt idx="7">
                  <c:v>604</c:v>
                </c:pt>
                <c:pt idx="8">
                  <c:v>736</c:v>
                </c:pt>
                <c:pt idx="9">
                  <c:v>588</c:v>
                </c:pt>
                <c:pt idx="10">
                  <c:v>552</c:v>
                </c:pt>
                <c:pt idx="11">
                  <c:v>520</c:v>
                </c:pt>
                <c:pt idx="12">
                  <c:v>712</c:v>
                </c:pt>
                <c:pt idx="13">
                  <c:v>720</c:v>
                </c:pt>
                <c:pt idx="14">
                  <c:v>768</c:v>
                </c:pt>
                <c:pt idx="15">
                  <c:v>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180-4DAE-B42A-84DFD3BB7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9763456"/>
        <c:axId val="659762800"/>
      </c:barChart>
      <c:catAx>
        <c:axId val="659763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9762800"/>
        <c:crosses val="autoZero"/>
        <c:auto val="1"/>
        <c:lblAlgn val="ctr"/>
        <c:lblOffset val="100"/>
        <c:noMultiLvlLbl val="0"/>
      </c:catAx>
      <c:valAx>
        <c:axId val="659762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9763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133028679322162E-2"/>
          <c:y val="0.18308398950131233"/>
          <c:w val="0.91587931662874267"/>
          <c:h val="0.63333333333333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HLAVNÍ_VÝSLEDKY!$G$183:$V$183</c:f>
              <c:numCache>
                <c:formatCode>General</c:formatCode>
                <c:ptCount val="16"/>
                <c:pt idx="0">
                  <c:v>68</c:v>
                </c:pt>
                <c:pt idx="1">
                  <c:v>208</c:v>
                </c:pt>
                <c:pt idx="2">
                  <c:v>748</c:v>
                </c:pt>
                <c:pt idx="3">
                  <c:v>1068</c:v>
                </c:pt>
                <c:pt idx="4">
                  <c:v>2348</c:v>
                </c:pt>
                <c:pt idx="5">
                  <c:v>2412</c:v>
                </c:pt>
                <c:pt idx="6">
                  <c:v>1404</c:v>
                </c:pt>
                <c:pt idx="7">
                  <c:v>1476</c:v>
                </c:pt>
                <c:pt idx="8">
                  <c:v>1660</c:v>
                </c:pt>
                <c:pt idx="9">
                  <c:v>1608</c:v>
                </c:pt>
                <c:pt idx="10">
                  <c:v>896</c:v>
                </c:pt>
                <c:pt idx="11">
                  <c:v>684</c:v>
                </c:pt>
                <c:pt idx="12">
                  <c:v>948</c:v>
                </c:pt>
                <c:pt idx="13">
                  <c:v>1036</c:v>
                </c:pt>
                <c:pt idx="14">
                  <c:v>960</c:v>
                </c:pt>
                <c:pt idx="15">
                  <c:v>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B4-470C-A36A-CA8933DBF38B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HLAVNÍ_VÝSLEDKY!$G$184:$V$184</c:f>
              <c:numCache>
                <c:formatCode>General</c:formatCode>
                <c:ptCount val="16"/>
                <c:pt idx="0">
                  <c:v>64</c:v>
                </c:pt>
                <c:pt idx="1">
                  <c:v>364</c:v>
                </c:pt>
                <c:pt idx="2">
                  <c:v>1204</c:v>
                </c:pt>
                <c:pt idx="3">
                  <c:v>1548</c:v>
                </c:pt>
                <c:pt idx="4">
                  <c:v>2096</c:v>
                </c:pt>
                <c:pt idx="5">
                  <c:v>2228</c:v>
                </c:pt>
                <c:pt idx="6">
                  <c:v>1364</c:v>
                </c:pt>
                <c:pt idx="7">
                  <c:v>1556</c:v>
                </c:pt>
                <c:pt idx="8">
                  <c:v>1904</c:v>
                </c:pt>
                <c:pt idx="9">
                  <c:v>2008</c:v>
                </c:pt>
                <c:pt idx="10">
                  <c:v>748</c:v>
                </c:pt>
                <c:pt idx="11">
                  <c:v>888</c:v>
                </c:pt>
                <c:pt idx="12">
                  <c:v>1224</c:v>
                </c:pt>
                <c:pt idx="13">
                  <c:v>936</c:v>
                </c:pt>
                <c:pt idx="14">
                  <c:v>788</c:v>
                </c:pt>
                <c:pt idx="15">
                  <c:v>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B4-470C-A36A-CA8933DBF3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1941664"/>
        <c:axId val="651933136"/>
      </c:barChart>
      <c:catAx>
        <c:axId val="6519416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51933136"/>
        <c:crosses val="autoZero"/>
        <c:auto val="1"/>
        <c:lblAlgn val="ctr"/>
        <c:lblOffset val="100"/>
        <c:noMultiLvlLbl val="0"/>
      </c:catAx>
      <c:valAx>
        <c:axId val="651933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1941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133028679322162E-2"/>
          <c:y val="0.18308398950131233"/>
          <c:w val="0.91587931662874267"/>
          <c:h val="0.63333333333333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HLAVNÍ_VÝSLEDKY!$G$185:$V$185</c:f>
              <c:numCache>
                <c:formatCode>General</c:formatCode>
                <c:ptCount val="16"/>
                <c:pt idx="0">
                  <c:v>16</c:v>
                </c:pt>
                <c:pt idx="1">
                  <c:v>88</c:v>
                </c:pt>
                <c:pt idx="2">
                  <c:v>648</c:v>
                </c:pt>
                <c:pt idx="3">
                  <c:v>924</c:v>
                </c:pt>
                <c:pt idx="4">
                  <c:v>1192</c:v>
                </c:pt>
                <c:pt idx="5">
                  <c:v>1204</c:v>
                </c:pt>
                <c:pt idx="6">
                  <c:v>1004</c:v>
                </c:pt>
                <c:pt idx="7">
                  <c:v>1148</c:v>
                </c:pt>
                <c:pt idx="8">
                  <c:v>1312</c:v>
                </c:pt>
                <c:pt idx="9">
                  <c:v>1396</c:v>
                </c:pt>
                <c:pt idx="10">
                  <c:v>2204</c:v>
                </c:pt>
                <c:pt idx="11">
                  <c:v>1300</c:v>
                </c:pt>
                <c:pt idx="12">
                  <c:v>2084</c:v>
                </c:pt>
                <c:pt idx="13">
                  <c:v>1548</c:v>
                </c:pt>
                <c:pt idx="14">
                  <c:v>316</c:v>
                </c:pt>
                <c:pt idx="15">
                  <c:v>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D6-42C9-AEA1-F970CEDBF1F8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HLAVNÍ_VÝSLEDKY!$G$186:$V$186</c:f>
              <c:numCache>
                <c:formatCode>General</c:formatCode>
                <c:ptCount val="16"/>
                <c:pt idx="0">
                  <c:v>32</c:v>
                </c:pt>
                <c:pt idx="1">
                  <c:v>136</c:v>
                </c:pt>
                <c:pt idx="2">
                  <c:v>1024</c:v>
                </c:pt>
                <c:pt idx="3">
                  <c:v>1144</c:v>
                </c:pt>
                <c:pt idx="4">
                  <c:v>1420</c:v>
                </c:pt>
                <c:pt idx="5">
                  <c:v>1556</c:v>
                </c:pt>
                <c:pt idx="6">
                  <c:v>1344</c:v>
                </c:pt>
                <c:pt idx="7">
                  <c:v>1404</c:v>
                </c:pt>
                <c:pt idx="8">
                  <c:v>1556</c:v>
                </c:pt>
                <c:pt idx="9">
                  <c:v>1608</c:v>
                </c:pt>
                <c:pt idx="10">
                  <c:v>1444</c:v>
                </c:pt>
                <c:pt idx="11">
                  <c:v>1408</c:v>
                </c:pt>
                <c:pt idx="12">
                  <c:v>1044</c:v>
                </c:pt>
                <c:pt idx="13">
                  <c:v>996</c:v>
                </c:pt>
                <c:pt idx="14">
                  <c:v>424</c:v>
                </c:pt>
                <c:pt idx="15">
                  <c:v>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D6-42C9-AEA1-F970CEDBF1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7012160"/>
        <c:axId val="617010520"/>
      </c:barChart>
      <c:catAx>
        <c:axId val="6170121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17010520"/>
        <c:crosses val="autoZero"/>
        <c:auto val="1"/>
        <c:lblAlgn val="ctr"/>
        <c:lblOffset val="100"/>
        <c:noMultiLvlLbl val="0"/>
      </c:catAx>
      <c:valAx>
        <c:axId val="617010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7012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133028679322162E-2"/>
          <c:y val="0.18308398950131233"/>
          <c:w val="0.91587931662874267"/>
          <c:h val="0.63333333333333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HLAVNÍ_VÝSLEDKY!$G$187:$V$187</c:f>
              <c:numCache>
                <c:formatCode>General</c:formatCode>
                <c:ptCount val="16"/>
                <c:pt idx="0">
                  <c:v>36</c:v>
                </c:pt>
                <c:pt idx="1">
                  <c:v>148</c:v>
                </c:pt>
                <c:pt idx="2">
                  <c:v>420</c:v>
                </c:pt>
                <c:pt idx="3">
                  <c:v>672</c:v>
                </c:pt>
                <c:pt idx="4">
                  <c:v>788</c:v>
                </c:pt>
                <c:pt idx="5">
                  <c:v>628</c:v>
                </c:pt>
                <c:pt idx="6">
                  <c:v>1044</c:v>
                </c:pt>
                <c:pt idx="7">
                  <c:v>1156</c:v>
                </c:pt>
                <c:pt idx="8">
                  <c:v>748</c:v>
                </c:pt>
                <c:pt idx="9">
                  <c:v>408</c:v>
                </c:pt>
                <c:pt idx="10">
                  <c:v>684</c:v>
                </c:pt>
                <c:pt idx="11">
                  <c:v>500</c:v>
                </c:pt>
                <c:pt idx="12">
                  <c:v>964</c:v>
                </c:pt>
                <c:pt idx="13">
                  <c:v>924</c:v>
                </c:pt>
                <c:pt idx="14">
                  <c:v>792</c:v>
                </c:pt>
                <c:pt idx="15">
                  <c:v>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A7-488F-BCD3-36319ED83E79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HLAVNÍ_VÝSLEDKY!$G$188:$V$188</c:f>
              <c:numCache>
                <c:formatCode>General</c:formatCode>
                <c:ptCount val="16"/>
                <c:pt idx="0">
                  <c:v>60</c:v>
                </c:pt>
                <c:pt idx="1">
                  <c:v>260</c:v>
                </c:pt>
                <c:pt idx="2">
                  <c:v>628</c:v>
                </c:pt>
                <c:pt idx="3">
                  <c:v>748</c:v>
                </c:pt>
                <c:pt idx="4">
                  <c:v>848</c:v>
                </c:pt>
                <c:pt idx="5">
                  <c:v>804</c:v>
                </c:pt>
                <c:pt idx="6">
                  <c:v>716</c:v>
                </c:pt>
                <c:pt idx="7">
                  <c:v>796</c:v>
                </c:pt>
                <c:pt idx="8">
                  <c:v>728</c:v>
                </c:pt>
                <c:pt idx="9">
                  <c:v>748</c:v>
                </c:pt>
                <c:pt idx="10">
                  <c:v>672</c:v>
                </c:pt>
                <c:pt idx="11">
                  <c:v>604</c:v>
                </c:pt>
                <c:pt idx="12">
                  <c:v>788</c:v>
                </c:pt>
                <c:pt idx="13">
                  <c:v>816</c:v>
                </c:pt>
                <c:pt idx="14">
                  <c:v>1208</c:v>
                </c:pt>
                <c:pt idx="15">
                  <c:v>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A7-488F-BCD3-36319ED83E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9767064"/>
        <c:axId val="659767392"/>
      </c:barChart>
      <c:catAx>
        <c:axId val="6597670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59767392"/>
        <c:crosses val="autoZero"/>
        <c:auto val="1"/>
        <c:lblAlgn val="ctr"/>
        <c:lblOffset val="100"/>
        <c:noMultiLvlLbl val="0"/>
      </c:catAx>
      <c:valAx>
        <c:axId val="659767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9767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133028679322162E-2"/>
          <c:y val="7.3233595800524937E-2"/>
          <c:w val="0.91587931662874267"/>
          <c:h val="0.5063580052493438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HLAVNÍ_VÝSLEDKY!$G$189:$V$189</c:f>
              <c:numCache>
                <c:formatCode>General</c:formatCode>
                <c:ptCount val="16"/>
                <c:pt idx="0">
                  <c:v>20</c:v>
                </c:pt>
                <c:pt idx="1">
                  <c:v>44</c:v>
                </c:pt>
                <c:pt idx="2">
                  <c:v>88</c:v>
                </c:pt>
                <c:pt idx="3">
                  <c:v>24</c:v>
                </c:pt>
                <c:pt idx="4">
                  <c:v>88</c:v>
                </c:pt>
                <c:pt idx="5">
                  <c:v>84</c:v>
                </c:pt>
                <c:pt idx="6">
                  <c:v>88</c:v>
                </c:pt>
                <c:pt idx="7">
                  <c:v>224</c:v>
                </c:pt>
                <c:pt idx="8">
                  <c:v>84</c:v>
                </c:pt>
                <c:pt idx="9">
                  <c:v>48</c:v>
                </c:pt>
                <c:pt idx="10">
                  <c:v>52</c:v>
                </c:pt>
                <c:pt idx="11">
                  <c:v>24</c:v>
                </c:pt>
                <c:pt idx="12">
                  <c:v>72</c:v>
                </c:pt>
                <c:pt idx="13">
                  <c:v>84</c:v>
                </c:pt>
                <c:pt idx="14">
                  <c:v>24</c:v>
                </c:pt>
                <c:pt idx="15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68-4490-9D44-7EE1D4D7D2F3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HLAVNÍ_VÝSLEDKY!$G$190:$V$190</c:f>
              <c:numCache>
                <c:formatCode>General</c:formatCode>
                <c:ptCount val="16"/>
                <c:pt idx="0">
                  <c:v>12</c:v>
                </c:pt>
                <c:pt idx="1">
                  <c:v>32</c:v>
                </c:pt>
                <c:pt idx="2">
                  <c:v>44</c:v>
                </c:pt>
                <c:pt idx="3">
                  <c:v>32</c:v>
                </c:pt>
                <c:pt idx="4">
                  <c:v>76</c:v>
                </c:pt>
                <c:pt idx="5">
                  <c:v>36</c:v>
                </c:pt>
                <c:pt idx="6">
                  <c:v>76</c:v>
                </c:pt>
                <c:pt idx="7">
                  <c:v>136</c:v>
                </c:pt>
                <c:pt idx="8">
                  <c:v>72</c:v>
                </c:pt>
                <c:pt idx="9">
                  <c:v>116</c:v>
                </c:pt>
                <c:pt idx="10">
                  <c:v>24</c:v>
                </c:pt>
                <c:pt idx="11">
                  <c:v>36</c:v>
                </c:pt>
                <c:pt idx="12">
                  <c:v>104</c:v>
                </c:pt>
                <c:pt idx="13">
                  <c:v>48</c:v>
                </c:pt>
                <c:pt idx="14">
                  <c:v>28</c:v>
                </c:pt>
                <c:pt idx="15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68-4490-9D44-7EE1D4D7D2F3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HLAVNÍ_VÝSLEDKY!$G$191:$V$191</c:f>
              <c:numCache>
                <c:formatCode>General</c:formatCode>
                <c:ptCount val="16"/>
                <c:pt idx="0">
                  <c:v>136</c:v>
                </c:pt>
                <c:pt idx="1">
                  <c:v>552</c:v>
                </c:pt>
                <c:pt idx="2">
                  <c:v>804</c:v>
                </c:pt>
                <c:pt idx="3">
                  <c:v>1188</c:v>
                </c:pt>
                <c:pt idx="4">
                  <c:v>1696</c:v>
                </c:pt>
                <c:pt idx="5">
                  <c:v>2192</c:v>
                </c:pt>
                <c:pt idx="6">
                  <c:v>2348</c:v>
                </c:pt>
                <c:pt idx="7">
                  <c:v>1988</c:v>
                </c:pt>
                <c:pt idx="8">
                  <c:v>1648</c:v>
                </c:pt>
                <c:pt idx="9">
                  <c:v>1592</c:v>
                </c:pt>
                <c:pt idx="10">
                  <c:v>2356</c:v>
                </c:pt>
                <c:pt idx="11">
                  <c:v>2172</c:v>
                </c:pt>
                <c:pt idx="12">
                  <c:v>2048</c:v>
                </c:pt>
                <c:pt idx="13">
                  <c:v>2008</c:v>
                </c:pt>
                <c:pt idx="14">
                  <c:v>1916</c:v>
                </c:pt>
                <c:pt idx="15">
                  <c:v>884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68-4490-9D44-7EE1D4D7D2F3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HLAVNÍ_VÝSLEDKY!$G$192:$V$192</c:f>
              <c:numCache>
                <c:formatCode>General</c:formatCode>
                <c:ptCount val="16"/>
                <c:pt idx="0">
                  <c:v>132</c:v>
                </c:pt>
                <c:pt idx="1">
                  <c:v>496</c:v>
                </c:pt>
                <c:pt idx="2">
                  <c:v>788</c:v>
                </c:pt>
                <c:pt idx="3">
                  <c:v>984</c:v>
                </c:pt>
                <c:pt idx="4">
                  <c:v>1860</c:v>
                </c:pt>
                <c:pt idx="5">
                  <c:v>2104</c:v>
                </c:pt>
                <c:pt idx="6">
                  <c:v>2364</c:v>
                </c:pt>
                <c:pt idx="7">
                  <c:v>2048</c:v>
                </c:pt>
                <c:pt idx="8">
                  <c:v>2756</c:v>
                </c:pt>
                <c:pt idx="9">
                  <c:v>2812</c:v>
                </c:pt>
                <c:pt idx="10">
                  <c:v>2748</c:v>
                </c:pt>
                <c:pt idx="11">
                  <c:v>2272</c:v>
                </c:pt>
                <c:pt idx="12">
                  <c:v>2392</c:v>
                </c:pt>
                <c:pt idx="13">
                  <c:v>2136</c:v>
                </c:pt>
                <c:pt idx="14">
                  <c:v>1944</c:v>
                </c:pt>
                <c:pt idx="15">
                  <c:v>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268-4490-9D44-7EE1D4D7D2F3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HLAVNÍ_VÝSLEDKY!$G$193:$V$193</c:f>
              <c:numCache>
                <c:formatCode>General</c:formatCode>
                <c:ptCount val="16"/>
                <c:pt idx="0">
                  <c:v>156</c:v>
                </c:pt>
                <c:pt idx="1">
                  <c:v>596</c:v>
                </c:pt>
                <c:pt idx="2">
                  <c:v>892</c:v>
                </c:pt>
                <c:pt idx="3">
                  <c:v>1212</c:v>
                </c:pt>
                <c:pt idx="4">
                  <c:v>1784</c:v>
                </c:pt>
                <c:pt idx="5">
                  <c:v>2276</c:v>
                </c:pt>
                <c:pt idx="6">
                  <c:v>2436</c:v>
                </c:pt>
                <c:pt idx="7">
                  <c:v>2212</c:v>
                </c:pt>
                <c:pt idx="8">
                  <c:v>1732</c:v>
                </c:pt>
                <c:pt idx="9">
                  <c:v>1640</c:v>
                </c:pt>
                <c:pt idx="10">
                  <c:v>2408</c:v>
                </c:pt>
                <c:pt idx="11">
                  <c:v>2196</c:v>
                </c:pt>
                <c:pt idx="12">
                  <c:v>2120</c:v>
                </c:pt>
                <c:pt idx="13">
                  <c:v>2092</c:v>
                </c:pt>
                <c:pt idx="14">
                  <c:v>1940</c:v>
                </c:pt>
                <c:pt idx="15">
                  <c:v>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268-4490-9D44-7EE1D4D7D2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6106800"/>
        <c:axId val="666106144"/>
      </c:barChart>
      <c:catAx>
        <c:axId val="666106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6106144"/>
        <c:crosses val="autoZero"/>
        <c:auto val="1"/>
        <c:lblAlgn val="ctr"/>
        <c:lblOffset val="100"/>
        <c:noMultiLvlLbl val="0"/>
      </c:catAx>
      <c:valAx>
        <c:axId val="666106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6106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133028679322162E-2"/>
          <c:y val="0.18308398950131233"/>
          <c:w val="0.91587931662874267"/>
          <c:h val="0.63333333333333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HLAVNÍ_VÝSLEDKY!$G$194:$V$194</c:f>
              <c:numCache>
                <c:formatCode>General</c:formatCode>
                <c:ptCount val="16"/>
                <c:pt idx="0">
                  <c:v>84</c:v>
                </c:pt>
                <c:pt idx="1">
                  <c:v>272</c:v>
                </c:pt>
                <c:pt idx="2">
                  <c:v>756</c:v>
                </c:pt>
                <c:pt idx="3">
                  <c:v>1112</c:v>
                </c:pt>
                <c:pt idx="4">
                  <c:v>1368</c:v>
                </c:pt>
                <c:pt idx="5">
                  <c:v>1608</c:v>
                </c:pt>
                <c:pt idx="6">
                  <c:v>1648</c:v>
                </c:pt>
                <c:pt idx="7">
                  <c:v>1808</c:v>
                </c:pt>
                <c:pt idx="8">
                  <c:v>1684</c:v>
                </c:pt>
                <c:pt idx="9">
                  <c:v>1700</c:v>
                </c:pt>
                <c:pt idx="10">
                  <c:v>2004</c:v>
                </c:pt>
                <c:pt idx="11">
                  <c:v>1948</c:v>
                </c:pt>
                <c:pt idx="12">
                  <c:v>1604</c:v>
                </c:pt>
                <c:pt idx="13">
                  <c:v>1428</c:v>
                </c:pt>
                <c:pt idx="14">
                  <c:v>1548</c:v>
                </c:pt>
                <c:pt idx="15">
                  <c:v>748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13-4506-AAF9-EE8455C37BAB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HLAVNÍ_VÝSLEDKY!$G$195:$V$195</c:f>
              <c:numCache>
                <c:formatCode>General</c:formatCode>
                <c:ptCount val="16"/>
                <c:pt idx="0">
                  <c:v>68</c:v>
                </c:pt>
                <c:pt idx="1">
                  <c:v>232</c:v>
                </c:pt>
                <c:pt idx="2">
                  <c:v>480</c:v>
                </c:pt>
                <c:pt idx="3">
                  <c:v>964</c:v>
                </c:pt>
                <c:pt idx="4">
                  <c:v>1432</c:v>
                </c:pt>
                <c:pt idx="5">
                  <c:v>1648</c:v>
                </c:pt>
                <c:pt idx="6">
                  <c:v>1988</c:v>
                </c:pt>
                <c:pt idx="7">
                  <c:v>1868</c:v>
                </c:pt>
                <c:pt idx="8">
                  <c:v>1592</c:v>
                </c:pt>
                <c:pt idx="9">
                  <c:v>1716</c:v>
                </c:pt>
                <c:pt idx="10">
                  <c:v>1616</c:v>
                </c:pt>
                <c:pt idx="11">
                  <c:v>1404</c:v>
                </c:pt>
                <c:pt idx="12">
                  <c:v>1776</c:v>
                </c:pt>
                <c:pt idx="13">
                  <c:v>1512</c:v>
                </c:pt>
                <c:pt idx="14">
                  <c:v>1688</c:v>
                </c:pt>
                <c:pt idx="15">
                  <c:v>596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13-4506-AAF9-EE8455C37B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9807736"/>
        <c:axId val="659801176"/>
      </c:barChart>
      <c:catAx>
        <c:axId val="6598077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59801176"/>
        <c:crosses val="autoZero"/>
        <c:auto val="1"/>
        <c:lblAlgn val="ctr"/>
        <c:lblOffset val="100"/>
        <c:noMultiLvlLbl val="0"/>
      </c:catAx>
      <c:valAx>
        <c:axId val="659801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9807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31070597902949E-2"/>
          <c:y val="4.1642638049628498E-2"/>
          <c:w val="0.91697500851850899"/>
          <c:h val="0.657488033450222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HLAVNÍ_VÝSLEDKY!$G$18:$V$18</c:f>
              <c:numCache>
                <c:formatCode>General</c:formatCode>
                <c:ptCount val="16"/>
                <c:pt idx="0">
                  <c:v>24</c:v>
                </c:pt>
                <c:pt idx="1">
                  <c:v>12</c:v>
                </c:pt>
                <c:pt idx="2">
                  <c:v>6</c:v>
                </c:pt>
                <c:pt idx="3">
                  <c:v>40</c:v>
                </c:pt>
                <c:pt idx="4">
                  <c:v>12</c:v>
                </c:pt>
                <c:pt idx="5">
                  <c:v>8</c:v>
                </c:pt>
                <c:pt idx="6">
                  <c:v>16</c:v>
                </c:pt>
                <c:pt idx="7">
                  <c:v>40</c:v>
                </c:pt>
                <c:pt idx="8">
                  <c:v>28</c:v>
                </c:pt>
                <c:pt idx="9">
                  <c:v>20</c:v>
                </c:pt>
                <c:pt idx="10">
                  <c:v>20</c:v>
                </c:pt>
                <c:pt idx="11">
                  <c:v>144</c:v>
                </c:pt>
                <c:pt idx="12">
                  <c:v>40</c:v>
                </c:pt>
                <c:pt idx="13">
                  <c:v>20</c:v>
                </c:pt>
                <c:pt idx="14">
                  <c:v>20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3C-4299-81E7-92F0A6D2B173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HLAVNÍ_VÝSLEDKY!$G$19:$V$19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</c:v>
                </c:pt>
                <c:pt idx="4">
                  <c:v>4</c:v>
                </c:pt>
                <c:pt idx="5">
                  <c:v>12</c:v>
                </c:pt>
                <c:pt idx="6">
                  <c:v>36</c:v>
                </c:pt>
                <c:pt idx="7">
                  <c:v>72</c:v>
                </c:pt>
                <c:pt idx="8">
                  <c:v>136</c:v>
                </c:pt>
                <c:pt idx="9">
                  <c:v>148</c:v>
                </c:pt>
                <c:pt idx="10">
                  <c:v>72</c:v>
                </c:pt>
                <c:pt idx="11">
                  <c:v>124</c:v>
                </c:pt>
                <c:pt idx="12">
                  <c:v>88</c:v>
                </c:pt>
                <c:pt idx="13">
                  <c:v>60</c:v>
                </c:pt>
                <c:pt idx="14">
                  <c:v>40</c:v>
                </c:pt>
                <c:pt idx="15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3C-4299-81E7-92F0A6D2B173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HLAVNÍ_VÝSLEDKY!$G$20:$V$20</c:f>
              <c:numCache>
                <c:formatCode>General</c:formatCode>
                <c:ptCount val="16"/>
                <c:pt idx="0">
                  <c:v>0</c:v>
                </c:pt>
                <c:pt idx="1">
                  <c:v>8</c:v>
                </c:pt>
                <c:pt idx="2">
                  <c:v>0</c:v>
                </c:pt>
                <c:pt idx="3">
                  <c:v>40</c:v>
                </c:pt>
                <c:pt idx="4">
                  <c:v>40</c:v>
                </c:pt>
                <c:pt idx="5">
                  <c:v>12</c:v>
                </c:pt>
                <c:pt idx="6">
                  <c:v>20</c:v>
                </c:pt>
                <c:pt idx="7">
                  <c:v>12</c:v>
                </c:pt>
                <c:pt idx="8">
                  <c:v>52</c:v>
                </c:pt>
                <c:pt idx="9">
                  <c:v>40</c:v>
                </c:pt>
                <c:pt idx="10">
                  <c:v>12</c:v>
                </c:pt>
                <c:pt idx="11">
                  <c:v>24</c:v>
                </c:pt>
                <c:pt idx="12">
                  <c:v>28</c:v>
                </c:pt>
                <c:pt idx="13">
                  <c:v>20</c:v>
                </c:pt>
                <c:pt idx="14">
                  <c:v>0</c:v>
                </c:pt>
                <c:pt idx="15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3C-4299-81E7-92F0A6D2B173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HLAVNÍ_VÝSLEDKY!$G$21:$V$21</c:f>
              <c:numCache>
                <c:formatCode>General</c:formatCode>
                <c:ptCount val="16"/>
                <c:pt idx="0">
                  <c:v>0</c:v>
                </c:pt>
                <c:pt idx="1">
                  <c:v>24</c:v>
                </c:pt>
                <c:pt idx="2">
                  <c:v>20</c:v>
                </c:pt>
                <c:pt idx="3">
                  <c:v>20</c:v>
                </c:pt>
                <c:pt idx="4">
                  <c:v>28</c:v>
                </c:pt>
                <c:pt idx="5">
                  <c:v>48</c:v>
                </c:pt>
                <c:pt idx="6">
                  <c:v>32</c:v>
                </c:pt>
                <c:pt idx="7">
                  <c:v>36</c:v>
                </c:pt>
                <c:pt idx="8">
                  <c:v>72</c:v>
                </c:pt>
                <c:pt idx="9">
                  <c:v>52</c:v>
                </c:pt>
                <c:pt idx="10">
                  <c:v>28</c:v>
                </c:pt>
                <c:pt idx="11">
                  <c:v>0</c:v>
                </c:pt>
                <c:pt idx="12">
                  <c:v>40</c:v>
                </c:pt>
                <c:pt idx="13">
                  <c:v>64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3C-4299-81E7-92F0A6D2B173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HLAVNÍ_VÝSLEDKY!$G$22:$V$22</c:f>
              <c:numCache>
                <c:formatCode>General</c:formatCode>
                <c:ptCount val="16"/>
                <c:pt idx="0">
                  <c:v>36</c:v>
                </c:pt>
                <c:pt idx="1">
                  <c:v>124</c:v>
                </c:pt>
                <c:pt idx="2">
                  <c:v>324</c:v>
                </c:pt>
                <c:pt idx="3">
                  <c:v>924</c:v>
                </c:pt>
                <c:pt idx="4">
                  <c:v>780</c:v>
                </c:pt>
                <c:pt idx="5">
                  <c:v>1380</c:v>
                </c:pt>
                <c:pt idx="6">
                  <c:v>1404</c:v>
                </c:pt>
                <c:pt idx="7">
                  <c:v>1428</c:v>
                </c:pt>
                <c:pt idx="8">
                  <c:v>912</c:v>
                </c:pt>
                <c:pt idx="9">
                  <c:v>472</c:v>
                </c:pt>
                <c:pt idx="10">
                  <c:v>516</c:v>
                </c:pt>
                <c:pt idx="11">
                  <c:v>564</c:v>
                </c:pt>
                <c:pt idx="12">
                  <c:v>312</c:v>
                </c:pt>
                <c:pt idx="13">
                  <c:v>448</c:v>
                </c:pt>
                <c:pt idx="14">
                  <c:v>276</c:v>
                </c:pt>
                <c:pt idx="15">
                  <c:v>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33C-4299-81E7-92F0A6D2B173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HLAVNÍ_VÝSLEDKY!$G$23:$V$23</c:f>
              <c:numCache>
                <c:formatCode>General</c:formatCode>
                <c:ptCount val="16"/>
                <c:pt idx="0">
                  <c:v>184</c:v>
                </c:pt>
                <c:pt idx="1">
                  <c:v>376</c:v>
                </c:pt>
                <c:pt idx="2">
                  <c:v>96</c:v>
                </c:pt>
                <c:pt idx="3">
                  <c:v>400</c:v>
                </c:pt>
                <c:pt idx="4">
                  <c:v>780</c:v>
                </c:pt>
                <c:pt idx="5">
                  <c:v>1080</c:v>
                </c:pt>
                <c:pt idx="6">
                  <c:v>226</c:v>
                </c:pt>
                <c:pt idx="7">
                  <c:v>864</c:v>
                </c:pt>
                <c:pt idx="8">
                  <c:v>784</c:v>
                </c:pt>
                <c:pt idx="9">
                  <c:v>1392</c:v>
                </c:pt>
                <c:pt idx="10">
                  <c:v>1536</c:v>
                </c:pt>
                <c:pt idx="11">
                  <c:v>268</c:v>
                </c:pt>
                <c:pt idx="12">
                  <c:v>184</c:v>
                </c:pt>
                <c:pt idx="13">
                  <c:v>276</c:v>
                </c:pt>
                <c:pt idx="14">
                  <c:v>124</c:v>
                </c:pt>
                <c:pt idx="15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33C-4299-81E7-92F0A6D2B173}"/>
            </c:ext>
          </c:extLst>
        </c:ser>
        <c:ser>
          <c:idx val="6"/>
          <c:order val="6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HLAVNÍ_VÝSLEDKY!$G$24:$V$24</c:f>
              <c:numCache>
                <c:formatCode>General</c:formatCode>
                <c:ptCount val="16"/>
                <c:pt idx="0">
                  <c:v>208</c:v>
                </c:pt>
                <c:pt idx="1">
                  <c:v>388</c:v>
                </c:pt>
                <c:pt idx="2">
                  <c:v>102</c:v>
                </c:pt>
                <c:pt idx="3">
                  <c:v>440</c:v>
                </c:pt>
                <c:pt idx="4">
                  <c:v>792</c:v>
                </c:pt>
                <c:pt idx="5">
                  <c:v>1088</c:v>
                </c:pt>
                <c:pt idx="6">
                  <c:v>242</c:v>
                </c:pt>
                <c:pt idx="7">
                  <c:v>904</c:v>
                </c:pt>
                <c:pt idx="8">
                  <c:v>812</c:v>
                </c:pt>
                <c:pt idx="9">
                  <c:v>1412</c:v>
                </c:pt>
                <c:pt idx="10">
                  <c:v>1556</c:v>
                </c:pt>
                <c:pt idx="11">
                  <c:v>412</c:v>
                </c:pt>
                <c:pt idx="12">
                  <c:v>224</c:v>
                </c:pt>
                <c:pt idx="13">
                  <c:v>296</c:v>
                </c:pt>
                <c:pt idx="14">
                  <c:v>144</c:v>
                </c:pt>
                <c:pt idx="15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33C-4299-81E7-92F0A6D2B173}"/>
            </c:ext>
          </c:extLst>
        </c:ser>
        <c:ser>
          <c:idx val="7"/>
          <c:order val="7"/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HLAVNÍ_VÝSLEDKY!$G$25:$V$25</c:f>
              <c:numCache>
                <c:formatCode>General</c:formatCode>
                <c:ptCount val="16"/>
                <c:pt idx="0">
                  <c:v>36</c:v>
                </c:pt>
                <c:pt idx="1">
                  <c:v>132</c:v>
                </c:pt>
                <c:pt idx="2">
                  <c:v>324</c:v>
                </c:pt>
                <c:pt idx="3">
                  <c:v>964</c:v>
                </c:pt>
                <c:pt idx="4">
                  <c:v>820</c:v>
                </c:pt>
                <c:pt idx="5">
                  <c:v>1392</c:v>
                </c:pt>
                <c:pt idx="6">
                  <c:v>1424</c:v>
                </c:pt>
                <c:pt idx="7">
                  <c:v>1440</c:v>
                </c:pt>
                <c:pt idx="8">
                  <c:v>964</c:v>
                </c:pt>
                <c:pt idx="9">
                  <c:v>512</c:v>
                </c:pt>
                <c:pt idx="10">
                  <c:v>528</c:v>
                </c:pt>
                <c:pt idx="11">
                  <c:v>588</c:v>
                </c:pt>
                <c:pt idx="12">
                  <c:v>340</c:v>
                </c:pt>
                <c:pt idx="13">
                  <c:v>468</c:v>
                </c:pt>
                <c:pt idx="14">
                  <c:v>276</c:v>
                </c:pt>
                <c:pt idx="15">
                  <c:v>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3C-4299-81E7-92F0A6D2B173}"/>
            </c:ext>
          </c:extLst>
        </c:ser>
        <c:ser>
          <c:idx val="8"/>
          <c:order val="8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HLAVNÍ_VÝSLEDKY!$G$26:$V$26</c:f>
              <c:numCache>
                <c:formatCode>General</c:formatCode>
                <c:ptCount val="16"/>
                <c:pt idx="0">
                  <c:v>0</c:v>
                </c:pt>
                <c:pt idx="1">
                  <c:v>24</c:v>
                </c:pt>
                <c:pt idx="2">
                  <c:v>20</c:v>
                </c:pt>
                <c:pt idx="3">
                  <c:v>28</c:v>
                </c:pt>
                <c:pt idx="4">
                  <c:v>32</c:v>
                </c:pt>
                <c:pt idx="5">
                  <c:v>60</c:v>
                </c:pt>
                <c:pt idx="6">
                  <c:v>68</c:v>
                </c:pt>
                <c:pt idx="7">
                  <c:v>108</c:v>
                </c:pt>
                <c:pt idx="8">
                  <c:v>208</c:v>
                </c:pt>
                <c:pt idx="9">
                  <c:v>200</c:v>
                </c:pt>
                <c:pt idx="10">
                  <c:v>100</c:v>
                </c:pt>
                <c:pt idx="11">
                  <c:v>124</c:v>
                </c:pt>
                <c:pt idx="12">
                  <c:v>128</c:v>
                </c:pt>
                <c:pt idx="13">
                  <c:v>124</c:v>
                </c:pt>
                <c:pt idx="14">
                  <c:v>40</c:v>
                </c:pt>
                <c:pt idx="15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33C-4299-81E7-92F0A6D2B1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4872632"/>
        <c:axId val="614880504"/>
      </c:barChart>
      <c:catAx>
        <c:axId val="614872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4880504"/>
        <c:crosses val="autoZero"/>
        <c:auto val="1"/>
        <c:lblAlgn val="ctr"/>
        <c:lblOffset val="100"/>
        <c:noMultiLvlLbl val="0"/>
      </c:catAx>
      <c:valAx>
        <c:axId val="614880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4872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133028679322162E-2"/>
          <c:y val="0.18308398950131233"/>
          <c:w val="0.91587931662874267"/>
          <c:h val="0.63333333333333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HLAVNÍ_VÝSLEDKY!$G$196:$V$196</c:f>
              <c:numCache>
                <c:formatCode>General</c:formatCode>
                <c:ptCount val="16"/>
                <c:pt idx="0">
                  <c:v>48</c:v>
                </c:pt>
                <c:pt idx="1">
                  <c:v>256</c:v>
                </c:pt>
                <c:pt idx="2">
                  <c:v>492</c:v>
                </c:pt>
                <c:pt idx="3">
                  <c:v>592</c:v>
                </c:pt>
                <c:pt idx="4">
                  <c:v>964</c:v>
                </c:pt>
                <c:pt idx="5">
                  <c:v>1188</c:v>
                </c:pt>
                <c:pt idx="6">
                  <c:v>1188</c:v>
                </c:pt>
                <c:pt idx="7">
                  <c:v>1092</c:v>
                </c:pt>
                <c:pt idx="8">
                  <c:v>896</c:v>
                </c:pt>
                <c:pt idx="9">
                  <c:v>1188</c:v>
                </c:pt>
                <c:pt idx="10">
                  <c:v>1116</c:v>
                </c:pt>
                <c:pt idx="11">
                  <c:v>1364</c:v>
                </c:pt>
                <c:pt idx="12">
                  <c:v>796</c:v>
                </c:pt>
                <c:pt idx="13">
                  <c:v>740</c:v>
                </c:pt>
                <c:pt idx="14">
                  <c:v>620</c:v>
                </c:pt>
                <c:pt idx="15">
                  <c:v>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D3-4AB6-BB80-08AF71E6FF32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HLAVNÍ_VÝSLEDKY!$G$197:$V$197</c:f>
              <c:numCache>
                <c:formatCode>General</c:formatCode>
                <c:ptCount val="16"/>
                <c:pt idx="0">
                  <c:v>60</c:v>
                </c:pt>
                <c:pt idx="1">
                  <c:v>168</c:v>
                </c:pt>
                <c:pt idx="2">
                  <c:v>608</c:v>
                </c:pt>
                <c:pt idx="3">
                  <c:v>668</c:v>
                </c:pt>
                <c:pt idx="4">
                  <c:v>1032</c:v>
                </c:pt>
                <c:pt idx="5">
                  <c:v>1740</c:v>
                </c:pt>
                <c:pt idx="6">
                  <c:v>1684</c:v>
                </c:pt>
                <c:pt idx="7">
                  <c:v>1564</c:v>
                </c:pt>
                <c:pt idx="8">
                  <c:v>1356</c:v>
                </c:pt>
                <c:pt idx="9">
                  <c:v>1684</c:v>
                </c:pt>
                <c:pt idx="10">
                  <c:v>1464</c:v>
                </c:pt>
                <c:pt idx="11">
                  <c:v>928</c:v>
                </c:pt>
                <c:pt idx="12">
                  <c:v>988</c:v>
                </c:pt>
                <c:pt idx="13">
                  <c:v>220</c:v>
                </c:pt>
                <c:pt idx="14">
                  <c:v>1148</c:v>
                </c:pt>
                <c:pt idx="15">
                  <c:v>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D3-4AB6-BB80-08AF71E6FF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4922816"/>
        <c:axId val="644926096"/>
      </c:barChart>
      <c:catAx>
        <c:axId val="6449228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44926096"/>
        <c:crosses val="autoZero"/>
        <c:auto val="1"/>
        <c:lblAlgn val="ctr"/>
        <c:lblOffset val="100"/>
        <c:noMultiLvlLbl val="0"/>
      </c:catAx>
      <c:valAx>
        <c:axId val="644926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4922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133028679322162E-2"/>
          <c:y val="0.18308398950131233"/>
          <c:w val="0.91587931662874267"/>
          <c:h val="0.63333333333333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HLAVNÍ_VÝSLEDKY!$G$198:$V$198</c:f>
              <c:numCache>
                <c:formatCode>General</c:formatCode>
                <c:ptCount val="16"/>
                <c:pt idx="0">
                  <c:v>48</c:v>
                </c:pt>
                <c:pt idx="1">
                  <c:v>288</c:v>
                </c:pt>
                <c:pt idx="2">
                  <c:v>364</c:v>
                </c:pt>
                <c:pt idx="3">
                  <c:v>628</c:v>
                </c:pt>
                <c:pt idx="4">
                  <c:v>964</c:v>
                </c:pt>
                <c:pt idx="5">
                  <c:v>1028</c:v>
                </c:pt>
                <c:pt idx="6">
                  <c:v>840</c:v>
                </c:pt>
                <c:pt idx="7">
                  <c:v>892</c:v>
                </c:pt>
                <c:pt idx="8">
                  <c:v>580</c:v>
                </c:pt>
                <c:pt idx="9">
                  <c:v>668</c:v>
                </c:pt>
                <c:pt idx="10">
                  <c:v>788</c:v>
                </c:pt>
                <c:pt idx="11">
                  <c:v>632</c:v>
                </c:pt>
                <c:pt idx="12">
                  <c:v>804</c:v>
                </c:pt>
                <c:pt idx="13">
                  <c:v>712</c:v>
                </c:pt>
                <c:pt idx="14">
                  <c:v>516</c:v>
                </c:pt>
                <c:pt idx="15">
                  <c:v>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63-47E6-A63F-FB9B7C88306C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HLAVNÍ_VÝSLEDKY!$G$199:$V$199</c:f>
              <c:numCache>
                <c:formatCode>General</c:formatCode>
                <c:ptCount val="16"/>
                <c:pt idx="0">
                  <c:v>32</c:v>
                </c:pt>
                <c:pt idx="1">
                  <c:v>176</c:v>
                </c:pt>
                <c:pt idx="2">
                  <c:v>228</c:v>
                </c:pt>
                <c:pt idx="3">
                  <c:v>392</c:v>
                </c:pt>
                <c:pt idx="4">
                  <c:v>752</c:v>
                </c:pt>
                <c:pt idx="5">
                  <c:v>748</c:v>
                </c:pt>
                <c:pt idx="6">
                  <c:v>788</c:v>
                </c:pt>
                <c:pt idx="7">
                  <c:v>804</c:v>
                </c:pt>
                <c:pt idx="8">
                  <c:v>668</c:v>
                </c:pt>
                <c:pt idx="9">
                  <c:v>712</c:v>
                </c:pt>
                <c:pt idx="10">
                  <c:v>756</c:v>
                </c:pt>
                <c:pt idx="11">
                  <c:v>544</c:v>
                </c:pt>
                <c:pt idx="12">
                  <c:v>512</c:v>
                </c:pt>
                <c:pt idx="13">
                  <c:v>516</c:v>
                </c:pt>
                <c:pt idx="14">
                  <c:v>572</c:v>
                </c:pt>
                <c:pt idx="15">
                  <c:v>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63-47E6-A63F-FB9B7C8830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9789368"/>
        <c:axId val="659790024"/>
      </c:barChart>
      <c:catAx>
        <c:axId val="6597893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59790024"/>
        <c:crosses val="autoZero"/>
        <c:auto val="1"/>
        <c:lblAlgn val="ctr"/>
        <c:lblOffset val="100"/>
        <c:noMultiLvlLbl val="0"/>
      </c:catAx>
      <c:valAx>
        <c:axId val="659790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9789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133028679322162E-2"/>
          <c:y val="0.18308398950131233"/>
          <c:w val="0.91587931662874267"/>
          <c:h val="0.63333333333333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HLAVNÍ_VÝSLEDKY!$G$200:$V$200</c:f>
              <c:numCache>
                <c:formatCode>General</c:formatCode>
                <c:ptCount val="16"/>
                <c:pt idx="0">
                  <c:v>28</c:v>
                </c:pt>
                <c:pt idx="1">
                  <c:v>220</c:v>
                </c:pt>
                <c:pt idx="2">
                  <c:v>596</c:v>
                </c:pt>
                <c:pt idx="3">
                  <c:v>788</c:v>
                </c:pt>
                <c:pt idx="4">
                  <c:v>1188</c:v>
                </c:pt>
                <c:pt idx="5">
                  <c:v>1988</c:v>
                </c:pt>
                <c:pt idx="6">
                  <c:v>2396</c:v>
                </c:pt>
                <c:pt idx="7">
                  <c:v>2536</c:v>
                </c:pt>
                <c:pt idx="8">
                  <c:v>2348</c:v>
                </c:pt>
                <c:pt idx="9">
                  <c:v>2096</c:v>
                </c:pt>
                <c:pt idx="10">
                  <c:v>2284</c:v>
                </c:pt>
                <c:pt idx="11">
                  <c:v>1708</c:v>
                </c:pt>
                <c:pt idx="12">
                  <c:v>1748</c:v>
                </c:pt>
                <c:pt idx="13">
                  <c:v>1604</c:v>
                </c:pt>
                <c:pt idx="14">
                  <c:v>1680</c:v>
                </c:pt>
                <c:pt idx="15">
                  <c:v>840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23-41A0-B524-B35ACCFA139F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HLAVNÍ_VÝSLEDKY!$G$201:$V$201</c:f>
              <c:numCache>
                <c:formatCode>General</c:formatCode>
                <c:ptCount val="16"/>
                <c:pt idx="0">
                  <c:v>48</c:v>
                </c:pt>
                <c:pt idx="1">
                  <c:v>212</c:v>
                </c:pt>
                <c:pt idx="2">
                  <c:v>448</c:v>
                </c:pt>
                <c:pt idx="3">
                  <c:v>748</c:v>
                </c:pt>
                <c:pt idx="4">
                  <c:v>1068</c:v>
                </c:pt>
                <c:pt idx="5">
                  <c:v>1472</c:v>
                </c:pt>
                <c:pt idx="6">
                  <c:v>2748</c:v>
                </c:pt>
                <c:pt idx="7">
                  <c:v>2972</c:v>
                </c:pt>
                <c:pt idx="8">
                  <c:v>2004</c:v>
                </c:pt>
                <c:pt idx="9">
                  <c:v>1948</c:v>
                </c:pt>
                <c:pt idx="10">
                  <c:v>2636</c:v>
                </c:pt>
                <c:pt idx="11">
                  <c:v>2048</c:v>
                </c:pt>
                <c:pt idx="12">
                  <c:v>2204</c:v>
                </c:pt>
                <c:pt idx="13">
                  <c:v>2048</c:v>
                </c:pt>
                <c:pt idx="14">
                  <c:v>2004</c:v>
                </c:pt>
                <c:pt idx="15">
                  <c:v>788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23-41A0-B524-B35ACCFA13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8524728"/>
        <c:axId val="648521448"/>
      </c:barChart>
      <c:catAx>
        <c:axId val="6485247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48521448"/>
        <c:crosses val="autoZero"/>
        <c:auto val="1"/>
        <c:lblAlgn val="ctr"/>
        <c:lblOffset val="100"/>
        <c:noMultiLvlLbl val="0"/>
      </c:catAx>
      <c:valAx>
        <c:axId val="648521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8524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0015819613737016E-2"/>
          <c:y val="5.115495493666896E-2"/>
          <c:w val="0.92899652569432778"/>
          <c:h val="0.599082913305398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  <c:extLst xmlns:c15="http://schemas.microsoft.com/office/drawing/2012/chart"/>
            </c:strRef>
          </c:cat>
          <c:val>
            <c:numRef>
              <c:f>HLAVNÍ_VÝSLEDKY!$G$202:$V$202</c:f>
              <c:numCache>
                <c:formatCode>General</c:formatCode>
                <c:ptCount val="16"/>
                <c:pt idx="0">
                  <c:v>36</c:v>
                </c:pt>
                <c:pt idx="1">
                  <c:v>40</c:v>
                </c:pt>
                <c:pt idx="2">
                  <c:v>40</c:v>
                </c:pt>
                <c:pt idx="3">
                  <c:v>36</c:v>
                </c:pt>
                <c:pt idx="4">
                  <c:v>36</c:v>
                </c:pt>
                <c:pt idx="5">
                  <c:v>108</c:v>
                </c:pt>
                <c:pt idx="6">
                  <c:v>76</c:v>
                </c:pt>
                <c:pt idx="7">
                  <c:v>48</c:v>
                </c:pt>
                <c:pt idx="8">
                  <c:v>12</c:v>
                </c:pt>
                <c:pt idx="9">
                  <c:v>0</c:v>
                </c:pt>
                <c:pt idx="10">
                  <c:v>64</c:v>
                </c:pt>
                <c:pt idx="11">
                  <c:v>12</c:v>
                </c:pt>
                <c:pt idx="12">
                  <c:v>120</c:v>
                </c:pt>
                <c:pt idx="13">
                  <c:v>36</c:v>
                </c:pt>
                <c:pt idx="14">
                  <c:v>48</c:v>
                </c:pt>
                <c:pt idx="15">
                  <c:v>252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4BC6-49F2-AE42-D4265F3E73D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  <c:extLst xmlns:c15="http://schemas.microsoft.com/office/drawing/2012/chart"/>
            </c:strRef>
          </c:cat>
          <c:val>
            <c:numRef>
              <c:f>HLAVNÍ_VÝSLEDKY!$G$203:$V$203</c:f>
              <c:numCache>
                <c:formatCode>General</c:formatCode>
                <c:ptCount val="16"/>
                <c:pt idx="0">
                  <c:v>12</c:v>
                </c:pt>
                <c:pt idx="1">
                  <c:v>72</c:v>
                </c:pt>
                <c:pt idx="2">
                  <c:v>252</c:v>
                </c:pt>
                <c:pt idx="3">
                  <c:v>312</c:v>
                </c:pt>
                <c:pt idx="4">
                  <c:v>300</c:v>
                </c:pt>
                <c:pt idx="5">
                  <c:v>316</c:v>
                </c:pt>
                <c:pt idx="6">
                  <c:v>436</c:v>
                </c:pt>
                <c:pt idx="7">
                  <c:v>132</c:v>
                </c:pt>
                <c:pt idx="8">
                  <c:v>232</c:v>
                </c:pt>
                <c:pt idx="9">
                  <c:v>364</c:v>
                </c:pt>
                <c:pt idx="10">
                  <c:v>208</c:v>
                </c:pt>
                <c:pt idx="11">
                  <c:v>148</c:v>
                </c:pt>
                <c:pt idx="12">
                  <c:v>328</c:v>
                </c:pt>
                <c:pt idx="13">
                  <c:v>232</c:v>
                </c:pt>
                <c:pt idx="14">
                  <c:v>112</c:v>
                </c:pt>
                <c:pt idx="15">
                  <c:v>96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4BC6-49F2-AE42-D4265F3E73DD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  <c:extLst xmlns:c15="http://schemas.microsoft.com/office/drawing/2012/chart"/>
            </c:strRef>
          </c:cat>
          <c:val>
            <c:numRef>
              <c:f>HLAVNÍ_VÝSLEDKY!$G$204:$V$204</c:f>
              <c:numCache>
                <c:formatCode>General</c:formatCode>
                <c:ptCount val="16"/>
                <c:pt idx="0">
                  <c:v>28</c:v>
                </c:pt>
                <c:pt idx="1">
                  <c:v>28</c:v>
                </c:pt>
                <c:pt idx="2">
                  <c:v>196</c:v>
                </c:pt>
                <c:pt idx="3">
                  <c:v>376</c:v>
                </c:pt>
                <c:pt idx="4">
                  <c:v>1152</c:v>
                </c:pt>
                <c:pt idx="5">
                  <c:v>412</c:v>
                </c:pt>
                <c:pt idx="6">
                  <c:v>1000</c:v>
                </c:pt>
                <c:pt idx="7">
                  <c:v>1116</c:v>
                </c:pt>
                <c:pt idx="8">
                  <c:v>808</c:v>
                </c:pt>
                <c:pt idx="9">
                  <c:v>1116</c:v>
                </c:pt>
                <c:pt idx="10">
                  <c:v>1536</c:v>
                </c:pt>
                <c:pt idx="11">
                  <c:v>952</c:v>
                </c:pt>
                <c:pt idx="12">
                  <c:v>1036</c:v>
                </c:pt>
                <c:pt idx="13">
                  <c:v>624</c:v>
                </c:pt>
                <c:pt idx="14">
                  <c:v>1008</c:v>
                </c:pt>
                <c:pt idx="15">
                  <c:v>748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4BC6-49F2-AE42-D4265F3E73DD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  <c:extLst xmlns:c15="http://schemas.microsoft.com/office/drawing/2012/chart"/>
            </c:strRef>
          </c:cat>
          <c:val>
            <c:numRef>
              <c:f>HLAVNÍ_VÝSLEDKY!$G$205:$V$205</c:f>
              <c:numCache>
                <c:formatCode>General</c:formatCode>
                <c:ptCount val="16"/>
                <c:pt idx="0">
                  <c:v>136</c:v>
                </c:pt>
                <c:pt idx="1">
                  <c:v>304</c:v>
                </c:pt>
                <c:pt idx="2">
                  <c:v>640</c:v>
                </c:pt>
                <c:pt idx="3">
                  <c:v>1080</c:v>
                </c:pt>
                <c:pt idx="4">
                  <c:v>688</c:v>
                </c:pt>
                <c:pt idx="5">
                  <c:v>528</c:v>
                </c:pt>
                <c:pt idx="6">
                  <c:v>852</c:v>
                </c:pt>
                <c:pt idx="7">
                  <c:v>624</c:v>
                </c:pt>
                <c:pt idx="8">
                  <c:v>1020</c:v>
                </c:pt>
                <c:pt idx="9">
                  <c:v>1008</c:v>
                </c:pt>
                <c:pt idx="10">
                  <c:v>676</c:v>
                </c:pt>
                <c:pt idx="11">
                  <c:v>988</c:v>
                </c:pt>
                <c:pt idx="12">
                  <c:v>916</c:v>
                </c:pt>
                <c:pt idx="13">
                  <c:v>592</c:v>
                </c:pt>
                <c:pt idx="14">
                  <c:v>436</c:v>
                </c:pt>
                <c:pt idx="15">
                  <c:v>480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3-4BC6-49F2-AE42-D4265F3E73DD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  <c:extLst xmlns:c15="http://schemas.microsoft.com/office/drawing/2012/chart"/>
            </c:strRef>
          </c:cat>
          <c:val>
            <c:numRef>
              <c:f>HLAVNÍ_VÝSLEDKY!$G$206:$V$206</c:f>
              <c:numCache>
                <c:formatCode>General</c:formatCode>
                <c:ptCount val="16"/>
                <c:pt idx="0">
                  <c:v>8</c:v>
                </c:pt>
                <c:pt idx="1">
                  <c:v>28</c:v>
                </c:pt>
                <c:pt idx="2">
                  <c:v>24</c:v>
                </c:pt>
                <c:pt idx="3">
                  <c:v>12</c:v>
                </c:pt>
                <c:pt idx="4">
                  <c:v>36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8</c:v>
                </c:pt>
                <c:pt idx="9">
                  <c:v>0</c:v>
                </c:pt>
                <c:pt idx="10">
                  <c:v>0</c:v>
                </c:pt>
                <c:pt idx="11">
                  <c:v>36</c:v>
                </c:pt>
                <c:pt idx="12">
                  <c:v>28</c:v>
                </c:pt>
                <c:pt idx="13">
                  <c:v>20</c:v>
                </c:pt>
                <c:pt idx="14">
                  <c:v>0</c:v>
                </c:pt>
                <c:pt idx="15">
                  <c:v>0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4-4BC6-49F2-AE42-D4265F3E73DD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  <c:extLst xmlns:c15="http://schemas.microsoft.com/office/drawing/2012/chart"/>
            </c:strRef>
          </c:cat>
          <c:val>
            <c:numRef>
              <c:f>HLAVNÍ_VÝSLEDKY!$G$207:$V$207</c:f>
              <c:numCache>
                <c:formatCode>General</c:formatCode>
                <c:ptCount val="16"/>
                <c:pt idx="0">
                  <c:v>20</c:v>
                </c:pt>
                <c:pt idx="1">
                  <c:v>20</c:v>
                </c:pt>
                <c:pt idx="2">
                  <c:v>8</c:v>
                </c:pt>
                <c:pt idx="3">
                  <c:v>24</c:v>
                </c:pt>
                <c:pt idx="4">
                  <c:v>0</c:v>
                </c:pt>
                <c:pt idx="5">
                  <c:v>0</c:v>
                </c:pt>
                <c:pt idx="6">
                  <c:v>88</c:v>
                </c:pt>
                <c:pt idx="7">
                  <c:v>0</c:v>
                </c:pt>
                <c:pt idx="8">
                  <c:v>0</c:v>
                </c:pt>
                <c:pt idx="9">
                  <c:v>24</c:v>
                </c:pt>
                <c:pt idx="10">
                  <c:v>132</c:v>
                </c:pt>
                <c:pt idx="11">
                  <c:v>0</c:v>
                </c:pt>
                <c:pt idx="12">
                  <c:v>0</c:v>
                </c:pt>
                <c:pt idx="13">
                  <c:v>12</c:v>
                </c:pt>
                <c:pt idx="14">
                  <c:v>148</c:v>
                </c:pt>
                <c:pt idx="15">
                  <c:v>40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5-4BC6-49F2-AE42-D4265F3E73DD}"/>
            </c:ext>
          </c:extLst>
        </c:ser>
        <c:ser>
          <c:idx val="6"/>
          <c:order val="6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HLAVNÍ_VÝSLEDKY!$G$208:$V$208</c:f>
              <c:numCache>
                <c:formatCode>General</c:formatCode>
                <c:ptCount val="16"/>
                <c:pt idx="0">
                  <c:v>148</c:v>
                </c:pt>
                <c:pt idx="1">
                  <c:v>376</c:v>
                </c:pt>
                <c:pt idx="2">
                  <c:v>892</c:v>
                </c:pt>
                <c:pt idx="3">
                  <c:v>1392</c:v>
                </c:pt>
                <c:pt idx="4">
                  <c:v>988</c:v>
                </c:pt>
                <c:pt idx="5">
                  <c:v>844</c:v>
                </c:pt>
                <c:pt idx="6">
                  <c:v>1288</c:v>
                </c:pt>
                <c:pt idx="7">
                  <c:v>756</c:v>
                </c:pt>
                <c:pt idx="8">
                  <c:v>1252</c:v>
                </c:pt>
                <c:pt idx="9">
                  <c:v>1372</c:v>
                </c:pt>
                <c:pt idx="10">
                  <c:v>884</c:v>
                </c:pt>
                <c:pt idx="11">
                  <c:v>1136</c:v>
                </c:pt>
                <c:pt idx="12">
                  <c:v>1244</c:v>
                </c:pt>
                <c:pt idx="13">
                  <c:v>824</c:v>
                </c:pt>
                <c:pt idx="14">
                  <c:v>548</c:v>
                </c:pt>
                <c:pt idx="15">
                  <c:v>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BC6-49F2-AE42-D4265F3E73DD}"/>
            </c:ext>
          </c:extLst>
        </c:ser>
        <c:ser>
          <c:idx val="7"/>
          <c:order val="7"/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HLAVNÍ_VÝSLEDKY!$G$209:$V$209</c:f>
              <c:numCache>
                <c:formatCode>General</c:formatCode>
                <c:ptCount val="16"/>
                <c:pt idx="0">
                  <c:v>36</c:v>
                </c:pt>
                <c:pt idx="1">
                  <c:v>56</c:v>
                </c:pt>
                <c:pt idx="2">
                  <c:v>220</c:v>
                </c:pt>
                <c:pt idx="3">
                  <c:v>388</c:v>
                </c:pt>
                <c:pt idx="4">
                  <c:v>1188</c:v>
                </c:pt>
                <c:pt idx="5">
                  <c:v>412</c:v>
                </c:pt>
                <c:pt idx="6">
                  <c:v>1000</c:v>
                </c:pt>
                <c:pt idx="7">
                  <c:v>1116</c:v>
                </c:pt>
                <c:pt idx="8">
                  <c:v>816</c:v>
                </c:pt>
                <c:pt idx="9">
                  <c:v>1116</c:v>
                </c:pt>
                <c:pt idx="10">
                  <c:v>1536</c:v>
                </c:pt>
                <c:pt idx="11">
                  <c:v>988</c:v>
                </c:pt>
                <c:pt idx="12">
                  <c:v>1064</c:v>
                </c:pt>
                <c:pt idx="13">
                  <c:v>644</c:v>
                </c:pt>
                <c:pt idx="14">
                  <c:v>1008</c:v>
                </c:pt>
                <c:pt idx="15">
                  <c:v>748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BC6-49F2-AE42-D4265F3E73DD}"/>
            </c:ext>
          </c:extLst>
        </c:ser>
        <c:ser>
          <c:idx val="8"/>
          <c:order val="8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HLAVNÍ_VÝSLEDKY!$G$210:$V$210</c:f>
              <c:numCache>
                <c:formatCode>General</c:formatCode>
                <c:ptCount val="16"/>
                <c:pt idx="0">
                  <c:v>56</c:v>
                </c:pt>
                <c:pt idx="1">
                  <c:v>60</c:v>
                </c:pt>
                <c:pt idx="2">
                  <c:v>48</c:v>
                </c:pt>
                <c:pt idx="3">
                  <c:v>60</c:v>
                </c:pt>
                <c:pt idx="4">
                  <c:v>36</c:v>
                </c:pt>
                <c:pt idx="5">
                  <c:v>108</c:v>
                </c:pt>
                <c:pt idx="6">
                  <c:v>164</c:v>
                </c:pt>
                <c:pt idx="7">
                  <c:v>48</c:v>
                </c:pt>
                <c:pt idx="8">
                  <c:v>12</c:v>
                </c:pt>
                <c:pt idx="9">
                  <c:v>24</c:v>
                </c:pt>
                <c:pt idx="10">
                  <c:v>196</c:v>
                </c:pt>
                <c:pt idx="11">
                  <c:v>12</c:v>
                </c:pt>
                <c:pt idx="12">
                  <c:v>120</c:v>
                </c:pt>
                <c:pt idx="13">
                  <c:v>48</c:v>
                </c:pt>
                <c:pt idx="14">
                  <c:v>196</c:v>
                </c:pt>
                <c:pt idx="15">
                  <c:v>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BC6-49F2-AE42-D4265F3E73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6120904"/>
        <c:axId val="666117624"/>
        <c:extLst/>
      </c:barChart>
      <c:catAx>
        <c:axId val="666120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6117624"/>
        <c:crosses val="autoZero"/>
        <c:auto val="1"/>
        <c:lblAlgn val="ctr"/>
        <c:lblOffset val="100"/>
        <c:noMultiLvlLbl val="0"/>
      </c:catAx>
      <c:valAx>
        <c:axId val="666117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6120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0015819613737016E-2"/>
          <c:y val="0.12222222222222222"/>
          <c:w val="0.92899652569432778"/>
          <c:h val="0.4368486439195100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  <c:extLst xmlns:c15="http://schemas.microsoft.com/office/drawing/2012/chart"/>
            </c:strRef>
          </c:cat>
          <c:val>
            <c:numRef>
              <c:f>HLAVNÍ_VÝSLEDKY!$G$221:$V$221</c:f>
              <c:numCache>
                <c:formatCode>General</c:formatCode>
                <c:ptCount val="16"/>
                <c:pt idx="0">
                  <c:v>8</c:v>
                </c:pt>
                <c:pt idx="1">
                  <c:v>20</c:v>
                </c:pt>
                <c:pt idx="2">
                  <c:v>12</c:v>
                </c:pt>
                <c:pt idx="3">
                  <c:v>120</c:v>
                </c:pt>
                <c:pt idx="4">
                  <c:v>180</c:v>
                </c:pt>
                <c:pt idx="5">
                  <c:v>148</c:v>
                </c:pt>
                <c:pt idx="6">
                  <c:v>52</c:v>
                </c:pt>
                <c:pt idx="7">
                  <c:v>100</c:v>
                </c:pt>
                <c:pt idx="8">
                  <c:v>532</c:v>
                </c:pt>
                <c:pt idx="9">
                  <c:v>108</c:v>
                </c:pt>
                <c:pt idx="10">
                  <c:v>100</c:v>
                </c:pt>
                <c:pt idx="11">
                  <c:v>60</c:v>
                </c:pt>
                <c:pt idx="12">
                  <c:v>132</c:v>
                </c:pt>
                <c:pt idx="13">
                  <c:v>0</c:v>
                </c:pt>
                <c:pt idx="14">
                  <c:v>40</c:v>
                </c:pt>
                <c:pt idx="15">
                  <c:v>20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156F-4049-B9BD-BFB121C869A0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  <c:extLst xmlns:c15="http://schemas.microsoft.com/office/drawing/2012/chart"/>
            </c:strRef>
          </c:cat>
          <c:val>
            <c:numRef>
              <c:f>HLAVNÍ_VÝSLEDKY!$G$222:$V$222</c:f>
              <c:numCache>
                <c:formatCode>General</c:formatCode>
                <c:ptCount val="16"/>
                <c:pt idx="0">
                  <c:v>48</c:v>
                </c:pt>
                <c:pt idx="1">
                  <c:v>40</c:v>
                </c:pt>
                <c:pt idx="2">
                  <c:v>28</c:v>
                </c:pt>
                <c:pt idx="3">
                  <c:v>172</c:v>
                </c:pt>
                <c:pt idx="4">
                  <c:v>328</c:v>
                </c:pt>
                <c:pt idx="5">
                  <c:v>304</c:v>
                </c:pt>
                <c:pt idx="6">
                  <c:v>64</c:v>
                </c:pt>
                <c:pt idx="7">
                  <c:v>148</c:v>
                </c:pt>
                <c:pt idx="8">
                  <c:v>108</c:v>
                </c:pt>
                <c:pt idx="9">
                  <c:v>72</c:v>
                </c:pt>
                <c:pt idx="10">
                  <c:v>112</c:v>
                </c:pt>
                <c:pt idx="11">
                  <c:v>72</c:v>
                </c:pt>
                <c:pt idx="12">
                  <c:v>48</c:v>
                </c:pt>
                <c:pt idx="13">
                  <c:v>120</c:v>
                </c:pt>
                <c:pt idx="14">
                  <c:v>28</c:v>
                </c:pt>
                <c:pt idx="15">
                  <c:v>36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156F-4049-B9BD-BFB121C869A0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  <c:extLst xmlns:c15="http://schemas.microsoft.com/office/drawing/2012/chart"/>
            </c:strRef>
          </c:cat>
          <c:val>
            <c:numRef>
              <c:f>HLAVNÍ_VÝSLEDKY!$G$223:$V$223</c:f>
              <c:numCache>
                <c:formatCode>General</c:formatCode>
                <c:ptCount val="16"/>
                <c:pt idx="0">
                  <c:v>60</c:v>
                </c:pt>
                <c:pt idx="1">
                  <c:v>76</c:v>
                </c:pt>
                <c:pt idx="2">
                  <c:v>208</c:v>
                </c:pt>
                <c:pt idx="3">
                  <c:v>176</c:v>
                </c:pt>
                <c:pt idx="4">
                  <c:v>372</c:v>
                </c:pt>
                <c:pt idx="5">
                  <c:v>192</c:v>
                </c:pt>
                <c:pt idx="6">
                  <c:v>420</c:v>
                </c:pt>
                <c:pt idx="7">
                  <c:v>532</c:v>
                </c:pt>
                <c:pt idx="8">
                  <c:v>160</c:v>
                </c:pt>
                <c:pt idx="9">
                  <c:v>388</c:v>
                </c:pt>
                <c:pt idx="10">
                  <c:v>384</c:v>
                </c:pt>
                <c:pt idx="11">
                  <c:v>172</c:v>
                </c:pt>
                <c:pt idx="12">
                  <c:v>256</c:v>
                </c:pt>
                <c:pt idx="13">
                  <c:v>376</c:v>
                </c:pt>
                <c:pt idx="14">
                  <c:v>268</c:v>
                </c:pt>
                <c:pt idx="15">
                  <c:v>220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156F-4049-B9BD-BFB121C869A0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  <c:extLst xmlns:c15="http://schemas.microsoft.com/office/drawing/2012/chart"/>
            </c:strRef>
          </c:cat>
          <c:val>
            <c:numRef>
              <c:f>HLAVNÍ_VÝSLEDKY!$G$224:$V$224</c:f>
              <c:numCache>
                <c:formatCode>General</c:formatCode>
                <c:ptCount val="16"/>
                <c:pt idx="0">
                  <c:v>20</c:v>
                </c:pt>
                <c:pt idx="1">
                  <c:v>48</c:v>
                </c:pt>
                <c:pt idx="2">
                  <c:v>24</c:v>
                </c:pt>
                <c:pt idx="3">
                  <c:v>172</c:v>
                </c:pt>
                <c:pt idx="4">
                  <c:v>192</c:v>
                </c:pt>
                <c:pt idx="5">
                  <c:v>276</c:v>
                </c:pt>
                <c:pt idx="6">
                  <c:v>312</c:v>
                </c:pt>
                <c:pt idx="7">
                  <c:v>112</c:v>
                </c:pt>
                <c:pt idx="8">
                  <c:v>156</c:v>
                </c:pt>
                <c:pt idx="9">
                  <c:v>172</c:v>
                </c:pt>
                <c:pt idx="10">
                  <c:v>168</c:v>
                </c:pt>
                <c:pt idx="11">
                  <c:v>268</c:v>
                </c:pt>
                <c:pt idx="12">
                  <c:v>84</c:v>
                </c:pt>
                <c:pt idx="13">
                  <c:v>120</c:v>
                </c:pt>
                <c:pt idx="14">
                  <c:v>160</c:v>
                </c:pt>
                <c:pt idx="15">
                  <c:v>148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3-156F-4049-B9BD-BFB121C869A0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HLAVNÍ_VÝSLEDKY!$G$225:$V$225</c:f>
              <c:numCache>
                <c:formatCode>General</c:formatCode>
                <c:ptCount val="16"/>
                <c:pt idx="0">
                  <c:v>68</c:v>
                </c:pt>
                <c:pt idx="1">
                  <c:v>88</c:v>
                </c:pt>
                <c:pt idx="2">
                  <c:v>52</c:v>
                </c:pt>
                <c:pt idx="3">
                  <c:v>344</c:v>
                </c:pt>
                <c:pt idx="4">
                  <c:v>520</c:v>
                </c:pt>
                <c:pt idx="5">
                  <c:v>580</c:v>
                </c:pt>
                <c:pt idx="6">
                  <c:v>376</c:v>
                </c:pt>
                <c:pt idx="7">
                  <c:v>260</c:v>
                </c:pt>
                <c:pt idx="8">
                  <c:v>264</c:v>
                </c:pt>
                <c:pt idx="9">
                  <c:v>244</c:v>
                </c:pt>
                <c:pt idx="10">
                  <c:v>280</c:v>
                </c:pt>
                <c:pt idx="11">
                  <c:v>340</c:v>
                </c:pt>
                <c:pt idx="12">
                  <c:v>132</c:v>
                </c:pt>
                <c:pt idx="13">
                  <c:v>240</c:v>
                </c:pt>
                <c:pt idx="14">
                  <c:v>188</c:v>
                </c:pt>
                <c:pt idx="15">
                  <c:v>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56F-4049-B9BD-BFB121C869A0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HLAVNÍ_VÝSLEDKY!$G$226:$V$226</c:f>
              <c:numCache>
                <c:formatCode>General</c:formatCode>
                <c:ptCount val="16"/>
                <c:pt idx="0">
                  <c:v>68</c:v>
                </c:pt>
                <c:pt idx="1">
                  <c:v>96</c:v>
                </c:pt>
                <c:pt idx="2">
                  <c:v>220</c:v>
                </c:pt>
                <c:pt idx="3">
                  <c:v>296</c:v>
                </c:pt>
                <c:pt idx="4">
                  <c:v>552</c:v>
                </c:pt>
                <c:pt idx="5">
                  <c:v>340</c:v>
                </c:pt>
                <c:pt idx="6">
                  <c:v>472</c:v>
                </c:pt>
                <c:pt idx="7">
                  <c:v>632</c:v>
                </c:pt>
                <c:pt idx="8">
                  <c:v>692</c:v>
                </c:pt>
                <c:pt idx="9">
                  <c:v>496</c:v>
                </c:pt>
                <c:pt idx="10">
                  <c:v>484</c:v>
                </c:pt>
                <c:pt idx="11">
                  <c:v>232</c:v>
                </c:pt>
                <c:pt idx="12">
                  <c:v>388</c:v>
                </c:pt>
                <c:pt idx="13">
                  <c:v>376</c:v>
                </c:pt>
                <c:pt idx="14">
                  <c:v>308</c:v>
                </c:pt>
                <c:pt idx="15">
                  <c:v>240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56F-4049-B9BD-BFB121C869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75332216"/>
        <c:axId val="675328280"/>
        <c:extLst/>
      </c:barChart>
      <c:catAx>
        <c:axId val="675332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5328280"/>
        <c:crosses val="autoZero"/>
        <c:auto val="1"/>
        <c:lblAlgn val="ctr"/>
        <c:lblOffset val="100"/>
        <c:noMultiLvlLbl val="0"/>
      </c:catAx>
      <c:valAx>
        <c:axId val="675328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5332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432691825210842E-2"/>
          <c:y val="6.6666666666666666E-2"/>
          <c:w val="0.92457965348285398"/>
          <c:h val="0.6928265330470054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  <c:extLst xmlns:c15="http://schemas.microsoft.com/office/drawing/2012/chart"/>
            </c:strRef>
          </c:cat>
          <c:val>
            <c:numRef>
              <c:f>HLAVNÍ_VÝSLEDKY!$G$233:$V$233</c:f>
              <c:numCache>
                <c:formatCode>General</c:formatCode>
                <c:ptCount val="16"/>
                <c:pt idx="0">
                  <c:v>64</c:v>
                </c:pt>
                <c:pt idx="1">
                  <c:v>120</c:v>
                </c:pt>
                <c:pt idx="2">
                  <c:v>108</c:v>
                </c:pt>
                <c:pt idx="3">
                  <c:v>88</c:v>
                </c:pt>
                <c:pt idx="4">
                  <c:v>156</c:v>
                </c:pt>
                <c:pt idx="5">
                  <c:v>128</c:v>
                </c:pt>
                <c:pt idx="6">
                  <c:v>100</c:v>
                </c:pt>
                <c:pt idx="7">
                  <c:v>216</c:v>
                </c:pt>
                <c:pt idx="8">
                  <c:v>132</c:v>
                </c:pt>
                <c:pt idx="9">
                  <c:v>112</c:v>
                </c:pt>
                <c:pt idx="10">
                  <c:v>132</c:v>
                </c:pt>
                <c:pt idx="11">
                  <c:v>48</c:v>
                </c:pt>
                <c:pt idx="12">
                  <c:v>312</c:v>
                </c:pt>
                <c:pt idx="13">
                  <c:v>244</c:v>
                </c:pt>
                <c:pt idx="14">
                  <c:v>136</c:v>
                </c:pt>
                <c:pt idx="15">
                  <c:v>124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3085-40AF-821A-D3AA41C68908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  <c:extLst xmlns:c15="http://schemas.microsoft.com/office/drawing/2012/chart"/>
            </c:strRef>
          </c:cat>
          <c:val>
            <c:numRef>
              <c:f>HLAVNÍ_VÝSLEDKY!$G$234:$V$234</c:f>
              <c:numCache>
                <c:formatCode>General</c:formatCode>
                <c:ptCount val="16"/>
                <c:pt idx="0">
                  <c:v>12</c:v>
                </c:pt>
                <c:pt idx="1">
                  <c:v>48</c:v>
                </c:pt>
                <c:pt idx="2">
                  <c:v>40</c:v>
                </c:pt>
                <c:pt idx="3">
                  <c:v>40</c:v>
                </c:pt>
                <c:pt idx="4">
                  <c:v>24</c:v>
                </c:pt>
                <c:pt idx="5">
                  <c:v>48</c:v>
                </c:pt>
                <c:pt idx="6">
                  <c:v>128</c:v>
                </c:pt>
                <c:pt idx="7">
                  <c:v>0</c:v>
                </c:pt>
                <c:pt idx="8">
                  <c:v>120</c:v>
                </c:pt>
                <c:pt idx="9">
                  <c:v>36</c:v>
                </c:pt>
                <c:pt idx="10">
                  <c:v>24</c:v>
                </c:pt>
                <c:pt idx="11">
                  <c:v>120</c:v>
                </c:pt>
                <c:pt idx="12">
                  <c:v>12</c:v>
                </c:pt>
                <c:pt idx="13">
                  <c:v>24</c:v>
                </c:pt>
                <c:pt idx="14">
                  <c:v>40</c:v>
                </c:pt>
                <c:pt idx="15">
                  <c:v>64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3085-40AF-821A-D3AA41C68908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  <c:extLst xmlns:c15="http://schemas.microsoft.com/office/drawing/2012/chart"/>
            </c:strRef>
          </c:cat>
          <c:val>
            <c:numRef>
              <c:f>HLAVNÍ_VÝSLEDKY!$G$235:$V$235</c:f>
              <c:numCache>
                <c:formatCode>General</c:formatCode>
                <c:ptCount val="16"/>
                <c:pt idx="0">
                  <c:v>12</c:v>
                </c:pt>
                <c:pt idx="1">
                  <c:v>0</c:v>
                </c:pt>
                <c:pt idx="2">
                  <c:v>8</c:v>
                </c:pt>
                <c:pt idx="3">
                  <c:v>40</c:v>
                </c:pt>
                <c:pt idx="4">
                  <c:v>24</c:v>
                </c:pt>
                <c:pt idx="5">
                  <c:v>52</c:v>
                </c:pt>
                <c:pt idx="6">
                  <c:v>12</c:v>
                </c:pt>
                <c:pt idx="7">
                  <c:v>12</c:v>
                </c:pt>
                <c:pt idx="8">
                  <c:v>0</c:v>
                </c:pt>
                <c:pt idx="9">
                  <c:v>20</c:v>
                </c:pt>
                <c:pt idx="10">
                  <c:v>24</c:v>
                </c:pt>
                <c:pt idx="11">
                  <c:v>0</c:v>
                </c:pt>
                <c:pt idx="12">
                  <c:v>20</c:v>
                </c:pt>
                <c:pt idx="13">
                  <c:v>0</c:v>
                </c:pt>
                <c:pt idx="14">
                  <c:v>4</c:v>
                </c:pt>
                <c:pt idx="15">
                  <c:v>0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3085-40AF-821A-D3AA41C68908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  <c:extLst xmlns:c15="http://schemas.microsoft.com/office/drawing/2012/chart"/>
            </c:strRef>
          </c:cat>
          <c:val>
            <c:numRef>
              <c:f>HLAVNÍ_VÝSLEDKY!$G$236:$V$236</c:f>
              <c:numCache>
                <c:formatCode>General</c:formatCode>
                <c:ptCount val="16"/>
                <c:pt idx="0">
                  <c:v>0</c:v>
                </c:pt>
                <c:pt idx="1">
                  <c:v>8</c:v>
                </c:pt>
                <c:pt idx="2">
                  <c:v>8</c:v>
                </c:pt>
                <c:pt idx="3">
                  <c:v>0</c:v>
                </c:pt>
                <c:pt idx="4">
                  <c:v>0</c:v>
                </c:pt>
                <c:pt idx="5">
                  <c:v>60</c:v>
                </c:pt>
                <c:pt idx="6">
                  <c:v>52</c:v>
                </c:pt>
                <c:pt idx="7">
                  <c:v>0</c:v>
                </c:pt>
                <c:pt idx="8">
                  <c:v>12</c:v>
                </c:pt>
                <c:pt idx="9">
                  <c:v>20</c:v>
                </c:pt>
                <c:pt idx="10">
                  <c:v>20</c:v>
                </c:pt>
                <c:pt idx="11">
                  <c:v>12</c:v>
                </c:pt>
                <c:pt idx="12">
                  <c:v>0</c:v>
                </c:pt>
                <c:pt idx="13">
                  <c:v>60</c:v>
                </c:pt>
                <c:pt idx="14">
                  <c:v>24</c:v>
                </c:pt>
                <c:pt idx="15">
                  <c:v>72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3-3085-40AF-821A-D3AA41C68908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  <c:extLst xmlns:c15="http://schemas.microsoft.com/office/drawing/2012/chart"/>
            </c:strRef>
          </c:cat>
          <c:val>
            <c:numRef>
              <c:f>HLAVNÍ_VÝSLEDKY!$G$237:$V$237</c:f>
              <c:numCache>
                <c:formatCode>General</c:formatCode>
                <c:ptCount val="16"/>
                <c:pt idx="0">
                  <c:v>76</c:v>
                </c:pt>
                <c:pt idx="1">
                  <c:v>96</c:v>
                </c:pt>
                <c:pt idx="2">
                  <c:v>112</c:v>
                </c:pt>
                <c:pt idx="3">
                  <c:v>168</c:v>
                </c:pt>
                <c:pt idx="4">
                  <c:v>180</c:v>
                </c:pt>
                <c:pt idx="5">
                  <c:v>484</c:v>
                </c:pt>
                <c:pt idx="6">
                  <c:v>472</c:v>
                </c:pt>
                <c:pt idx="7">
                  <c:v>648</c:v>
                </c:pt>
                <c:pt idx="8">
                  <c:v>688</c:v>
                </c:pt>
                <c:pt idx="9">
                  <c:v>484</c:v>
                </c:pt>
                <c:pt idx="10">
                  <c:v>468</c:v>
                </c:pt>
                <c:pt idx="11">
                  <c:v>700</c:v>
                </c:pt>
                <c:pt idx="12">
                  <c:v>616</c:v>
                </c:pt>
                <c:pt idx="13">
                  <c:v>352</c:v>
                </c:pt>
                <c:pt idx="14">
                  <c:v>772</c:v>
                </c:pt>
                <c:pt idx="15">
                  <c:v>852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4-3085-40AF-821A-D3AA41C68908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  <c:extLst xmlns:c15="http://schemas.microsoft.com/office/drawing/2012/chart"/>
            </c:strRef>
          </c:cat>
          <c:val>
            <c:numRef>
              <c:f>HLAVNÍ_VÝSLEDKY!$G$238:$V$238</c:f>
              <c:numCache>
                <c:formatCode>General</c:formatCode>
                <c:ptCount val="16"/>
                <c:pt idx="0">
                  <c:v>48</c:v>
                </c:pt>
                <c:pt idx="1">
                  <c:v>232</c:v>
                </c:pt>
                <c:pt idx="2">
                  <c:v>1248</c:v>
                </c:pt>
                <c:pt idx="3">
                  <c:v>804</c:v>
                </c:pt>
                <c:pt idx="4">
                  <c:v>1072</c:v>
                </c:pt>
                <c:pt idx="5">
                  <c:v>724</c:v>
                </c:pt>
                <c:pt idx="6">
                  <c:v>420</c:v>
                </c:pt>
                <c:pt idx="7">
                  <c:v>948</c:v>
                </c:pt>
                <c:pt idx="8">
                  <c:v>604</c:v>
                </c:pt>
                <c:pt idx="9">
                  <c:v>568</c:v>
                </c:pt>
                <c:pt idx="10">
                  <c:v>372</c:v>
                </c:pt>
                <c:pt idx="11">
                  <c:v>364</c:v>
                </c:pt>
                <c:pt idx="12">
                  <c:v>484</c:v>
                </c:pt>
                <c:pt idx="13">
                  <c:v>460</c:v>
                </c:pt>
                <c:pt idx="14">
                  <c:v>288</c:v>
                </c:pt>
                <c:pt idx="15">
                  <c:v>264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5-3085-40AF-821A-D3AA41C68908}"/>
            </c:ext>
          </c:extLst>
        </c:ser>
        <c:ser>
          <c:idx val="6"/>
          <c:order val="6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HLAVNÍ_VÝSLEDKY!$G$239:$V$239</c:f>
              <c:numCache>
                <c:formatCode>General</c:formatCode>
                <c:ptCount val="16"/>
                <c:pt idx="0">
                  <c:v>0</c:v>
                </c:pt>
                <c:pt idx="1">
                  <c:v>128</c:v>
                </c:pt>
                <c:pt idx="2">
                  <c:v>204</c:v>
                </c:pt>
                <c:pt idx="3">
                  <c:v>436</c:v>
                </c:pt>
                <c:pt idx="4">
                  <c:v>440</c:v>
                </c:pt>
                <c:pt idx="5">
                  <c:v>232</c:v>
                </c:pt>
                <c:pt idx="6">
                  <c:v>168</c:v>
                </c:pt>
                <c:pt idx="7">
                  <c:v>156</c:v>
                </c:pt>
                <c:pt idx="8">
                  <c:v>220</c:v>
                </c:pt>
                <c:pt idx="9">
                  <c:v>276</c:v>
                </c:pt>
                <c:pt idx="10">
                  <c:v>248</c:v>
                </c:pt>
                <c:pt idx="11">
                  <c:v>284</c:v>
                </c:pt>
                <c:pt idx="12">
                  <c:v>156</c:v>
                </c:pt>
                <c:pt idx="13">
                  <c:v>160</c:v>
                </c:pt>
                <c:pt idx="14">
                  <c:v>60</c:v>
                </c:pt>
                <c:pt idx="15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085-40AF-821A-D3AA41C68908}"/>
            </c:ext>
          </c:extLst>
        </c:ser>
        <c:ser>
          <c:idx val="7"/>
          <c:order val="7"/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HLAVNÍ_VÝSLEDKY!$G$240:$V$240</c:f>
              <c:numCache>
                <c:formatCode>General</c:formatCode>
                <c:ptCount val="16"/>
                <c:pt idx="0">
                  <c:v>0</c:v>
                </c:pt>
                <c:pt idx="1">
                  <c:v>104</c:v>
                </c:pt>
                <c:pt idx="2">
                  <c:v>296</c:v>
                </c:pt>
                <c:pt idx="3">
                  <c:v>376</c:v>
                </c:pt>
                <c:pt idx="4">
                  <c:v>168</c:v>
                </c:pt>
                <c:pt idx="5">
                  <c:v>152</c:v>
                </c:pt>
                <c:pt idx="6">
                  <c:v>136</c:v>
                </c:pt>
                <c:pt idx="7">
                  <c:v>160</c:v>
                </c:pt>
                <c:pt idx="8">
                  <c:v>188</c:v>
                </c:pt>
                <c:pt idx="9">
                  <c:v>220</c:v>
                </c:pt>
                <c:pt idx="10">
                  <c:v>200</c:v>
                </c:pt>
                <c:pt idx="11">
                  <c:v>80</c:v>
                </c:pt>
                <c:pt idx="12">
                  <c:v>84</c:v>
                </c:pt>
                <c:pt idx="13">
                  <c:v>196</c:v>
                </c:pt>
                <c:pt idx="14">
                  <c:v>48</c:v>
                </c:pt>
                <c:pt idx="15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085-40AF-821A-D3AA41C68908}"/>
            </c:ext>
          </c:extLst>
        </c:ser>
        <c:ser>
          <c:idx val="8"/>
          <c:order val="8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HLAVNÍ_VÝSLEDKY!$G$241:$V$241</c:f>
              <c:numCache>
                <c:formatCode>General</c:formatCode>
                <c:ptCount val="16"/>
                <c:pt idx="0">
                  <c:v>12</c:v>
                </c:pt>
                <c:pt idx="1">
                  <c:v>56</c:v>
                </c:pt>
                <c:pt idx="2">
                  <c:v>48</c:v>
                </c:pt>
                <c:pt idx="3">
                  <c:v>40</c:v>
                </c:pt>
                <c:pt idx="4">
                  <c:v>24</c:v>
                </c:pt>
                <c:pt idx="5">
                  <c:v>108</c:v>
                </c:pt>
                <c:pt idx="6">
                  <c:v>180</c:v>
                </c:pt>
                <c:pt idx="7">
                  <c:v>0</c:v>
                </c:pt>
                <c:pt idx="8">
                  <c:v>132</c:v>
                </c:pt>
                <c:pt idx="9">
                  <c:v>56</c:v>
                </c:pt>
                <c:pt idx="10">
                  <c:v>44</c:v>
                </c:pt>
                <c:pt idx="11">
                  <c:v>132</c:v>
                </c:pt>
                <c:pt idx="12">
                  <c:v>12</c:v>
                </c:pt>
                <c:pt idx="13">
                  <c:v>84</c:v>
                </c:pt>
                <c:pt idx="14">
                  <c:v>64</c:v>
                </c:pt>
                <c:pt idx="15">
                  <c:v>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085-40AF-821A-D3AA41C68908}"/>
            </c:ext>
          </c:extLst>
        </c:ser>
        <c:ser>
          <c:idx val="9"/>
          <c:order val="9"/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HLAVNÍ_VÝSLEDKY!$G$242:$V$242</c:f>
              <c:numCache>
                <c:formatCode>General</c:formatCode>
                <c:ptCount val="16"/>
                <c:pt idx="0">
                  <c:v>112</c:v>
                </c:pt>
                <c:pt idx="1">
                  <c:v>352</c:v>
                </c:pt>
                <c:pt idx="2">
                  <c:v>1356</c:v>
                </c:pt>
                <c:pt idx="3">
                  <c:v>892</c:v>
                </c:pt>
                <c:pt idx="4">
                  <c:v>1228</c:v>
                </c:pt>
                <c:pt idx="5">
                  <c:v>852</c:v>
                </c:pt>
                <c:pt idx="6">
                  <c:v>520</c:v>
                </c:pt>
                <c:pt idx="7">
                  <c:v>1164</c:v>
                </c:pt>
                <c:pt idx="8">
                  <c:v>736</c:v>
                </c:pt>
                <c:pt idx="9">
                  <c:v>680</c:v>
                </c:pt>
                <c:pt idx="10">
                  <c:v>504</c:v>
                </c:pt>
                <c:pt idx="11">
                  <c:v>412</c:v>
                </c:pt>
                <c:pt idx="12">
                  <c:v>796</c:v>
                </c:pt>
                <c:pt idx="13">
                  <c:v>704</c:v>
                </c:pt>
                <c:pt idx="14">
                  <c:v>424</c:v>
                </c:pt>
                <c:pt idx="15">
                  <c:v>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085-40AF-821A-D3AA41C68908}"/>
            </c:ext>
          </c:extLst>
        </c:ser>
        <c:ser>
          <c:idx val="10"/>
          <c:order val="10"/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HLAVNÍ_VÝSLEDKY!$G$243:$V$243</c:f>
              <c:numCache>
                <c:formatCode>General</c:formatCode>
                <c:ptCount val="16"/>
                <c:pt idx="0">
                  <c:v>88</c:v>
                </c:pt>
                <c:pt idx="1">
                  <c:v>200</c:v>
                </c:pt>
                <c:pt idx="2">
                  <c:v>416</c:v>
                </c:pt>
                <c:pt idx="3">
                  <c:v>584</c:v>
                </c:pt>
                <c:pt idx="4">
                  <c:v>372</c:v>
                </c:pt>
                <c:pt idx="5">
                  <c:v>688</c:v>
                </c:pt>
                <c:pt idx="6">
                  <c:v>620</c:v>
                </c:pt>
                <c:pt idx="7">
                  <c:v>820</c:v>
                </c:pt>
                <c:pt idx="8">
                  <c:v>876</c:v>
                </c:pt>
                <c:pt idx="9">
                  <c:v>724</c:v>
                </c:pt>
                <c:pt idx="10">
                  <c:v>692</c:v>
                </c:pt>
                <c:pt idx="11">
                  <c:v>780</c:v>
                </c:pt>
                <c:pt idx="12">
                  <c:v>720</c:v>
                </c:pt>
                <c:pt idx="13">
                  <c:v>548</c:v>
                </c:pt>
                <c:pt idx="14">
                  <c:v>824</c:v>
                </c:pt>
                <c:pt idx="15">
                  <c:v>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085-40AF-821A-D3AA41C689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4297480"/>
        <c:axId val="644301416"/>
        <c:extLst/>
      </c:barChart>
      <c:catAx>
        <c:axId val="644297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4301416"/>
        <c:crosses val="autoZero"/>
        <c:auto val="1"/>
        <c:lblAlgn val="ctr"/>
        <c:lblOffset val="100"/>
        <c:noMultiLvlLbl val="0"/>
      </c:catAx>
      <c:valAx>
        <c:axId val="644301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4297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432691825210842E-2"/>
          <c:y val="8.1481481481481488E-2"/>
          <c:w val="0.92457965348285398"/>
          <c:h val="0.624565762613006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HLAVNÍ_VÝSLEDKY!$G$244:$V$244</c:f>
              <c:numCache>
                <c:formatCode>General</c:formatCode>
                <c:ptCount val="16"/>
                <c:pt idx="0">
                  <c:v>12</c:v>
                </c:pt>
                <c:pt idx="1">
                  <c:v>0</c:v>
                </c:pt>
                <c:pt idx="2">
                  <c:v>20</c:v>
                </c:pt>
                <c:pt idx="3">
                  <c:v>24</c:v>
                </c:pt>
                <c:pt idx="4">
                  <c:v>48</c:v>
                </c:pt>
                <c:pt idx="5">
                  <c:v>44</c:v>
                </c:pt>
                <c:pt idx="6">
                  <c:v>60</c:v>
                </c:pt>
                <c:pt idx="7">
                  <c:v>36</c:v>
                </c:pt>
                <c:pt idx="8">
                  <c:v>48</c:v>
                </c:pt>
                <c:pt idx="9">
                  <c:v>28</c:v>
                </c:pt>
                <c:pt idx="10">
                  <c:v>20</c:v>
                </c:pt>
                <c:pt idx="11">
                  <c:v>20</c:v>
                </c:pt>
                <c:pt idx="12">
                  <c:v>24</c:v>
                </c:pt>
                <c:pt idx="13">
                  <c:v>100</c:v>
                </c:pt>
                <c:pt idx="14">
                  <c:v>132</c:v>
                </c:pt>
                <c:pt idx="15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09-4835-A26E-0E931BC3E959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HLAVNÍ_VÝSLEDKY!$G$245:$V$245</c:f>
              <c:numCache>
                <c:formatCode>General</c:formatCode>
                <c:ptCount val="16"/>
                <c:pt idx="0">
                  <c:v>0</c:v>
                </c:pt>
                <c:pt idx="1">
                  <c:v>16</c:v>
                </c:pt>
                <c:pt idx="2">
                  <c:v>0</c:v>
                </c:pt>
                <c:pt idx="3">
                  <c:v>12</c:v>
                </c:pt>
                <c:pt idx="4">
                  <c:v>20</c:v>
                </c:pt>
                <c:pt idx="5">
                  <c:v>28</c:v>
                </c:pt>
                <c:pt idx="6">
                  <c:v>36</c:v>
                </c:pt>
                <c:pt idx="7">
                  <c:v>20</c:v>
                </c:pt>
                <c:pt idx="8">
                  <c:v>40</c:v>
                </c:pt>
                <c:pt idx="9">
                  <c:v>44</c:v>
                </c:pt>
                <c:pt idx="10">
                  <c:v>36</c:v>
                </c:pt>
                <c:pt idx="11">
                  <c:v>88</c:v>
                </c:pt>
                <c:pt idx="12">
                  <c:v>64</c:v>
                </c:pt>
                <c:pt idx="13">
                  <c:v>68</c:v>
                </c:pt>
                <c:pt idx="14">
                  <c:v>100</c:v>
                </c:pt>
                <c:pt idx="15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09-4835-A26E-0E931BC3E959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HLAVNÍ_VÝSLEDKY!$G$246:$V$246</c:f>
              <c:numCache>
                <c:formatCode>General</c:formatCode>
                <c:ptCount val="16"/>
                <c:pt idx="0">
                  <c:v>12</c:v>
                </c:pt>
                <c:pt idx="1">
                  <c:v>36</c:v>
                </c:pt>
                <c:pt idx="2">
                  <c:v>48</c:v>
                </c:pt>
                <c:pt idx="3">
                  <c:v>56</c:v>
                </c:pt>
                <c:pt idx="4">
                  <c:v>48</c:v>
                </c:pt>
                <c:pt idx="5">
                  <c:v>80</c:v>
                </c:pt>
                <c:pt idx="6">
                  <c:v>304</c:v>
                </c:pt>
                <c:pt idx="7">
                  <c:v>292</c:v>
                </c:pt>
                <c:pt idx="8">
                  <c:v>300</c:v>
                </c:pt>
                <c:pt idx="9">
                  <c:v>252</c:v>
                </c:pt>
                <c:pt idx="10">
                  <c:v>172</c:v>
                </c:pt>
                <c:pt idx="11">
                  <c:v>84</c:v>
                </c:pt>
                <c:pt idx="12">
                  <c:v>92</c:v>
                </c:pt>
                <c:pt idx="13">
                  <c:v>140</c:v>
                </c:pt>
                <c:pt idx="14">
                  <c:v>192</c:v>
                </c:pt>
                <c:pt idx="15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09-4835-A26E-0E931BC3E959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HLAVNÍ_VÝSLEDKY!$G$247:$V$247</c:f>
              <c:numCache>
                <c:formatCode>General</c:formatCode>
                <c:ptCount val="16"/>
                <c:pt idx="0">
                  <c:v>24</c:v>
                </c:pt>
                <c:pt idx="1">
                  <c:v>36</c:v>
                </c:pt>
                <c:pt idx="2">
                  <c:v>60</c:v>
                </c:pt>
                <c:pt idx="3">
                  <c:v>108</c:v>
                </c:pt>
                <c:pt idx="4">
                  <c:v>120</c:v>
                </c:pt>
                <c:pt idx="5">
                  <c:v>132</c:v>
                </c:pt>
                <c:pt idx="6">
                  <c:v>144</c:v>
                </c:pt>
                <c:pt idx="7">
                  <c:v>408</c:v>
                </c:pt>
                <c:pt idx="8">
                  <c:v>432</c:v>
                </c:pt>
                <c:pt idx="9">
                  <c:v>316</c:v>
                </c:pt>
                <c:pt idx="10">
                  <c:v>204</c:v>
                </c:pt>
                <c:pt idx="11">
                  <c:v>220</c:v>
                </c:pt>
                <c:pt idx="12">
                  <c:v>212</c:v>
                </c:pt>
                <c:pt idx="13">
                  <c:v>316</c:v>
                </c:pt>
                <c:pt idx="14">
                  <c:v>432</c:v>
                </c:pt>
                <c:pt idx="15">
                  <c:v>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709-4835-A26E-0E931BC3E959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HLAVNÍ_VÝSLEDKY!$G$248:$V$248</c:f>
              <c:numCache>
                <c:formatCode>General</c:formatCode>
                <c:ptCount val="16"/>
                <c:pt idx="0">
                  <c:v>8</c:v>
                </c:pt>
                <c:pt idx="1">
                  <c:v>28</c:v>
                </c:pt>
                <c:pt idx="2">
                  <c:v>52</c:v>
                </c:pt>
                <c:pt idx="3">
                  <c:v>72</c:v>
                </c:pt>
                <c:pt idx="4">
                  <c:v>120</c:v>
                </c:pt>
                <c:pt idx="5">
                  <c:v>116</c:v>
                </c:pt>
                <c:pt idx="6">
                  <c:v>124</c:v>
                </c:pt>
                <c:pt idx="7">
                  <c:v>156</c:v>
                </c:pt>
                <c:pt idx="8">
                  <c:v>164</c:v>
                </c:pt>
                <c:pt idx="9">
                  <c:v>148</c:v>
                </c:pt>
                <c:pt idx="10">
                  <c:v>108</c:v>
                </c:pt>
                <c:pt idx="11">
                  <c:v>156</c:v>
                </c:pt>
                <c:pt idx="12">
                  <c:v>144</c:v>
                </c:pt>
                <c:pt idx="13">
                  <c:v>168</c:v>
                </c:pt>
                <c:pt idx="14">
                  <c:v>220</c:v>
                </c:pt>
                <c:pt idx="15">
                  <c:v>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709-4835-A26E-0E931BC3E959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HLAVNÍ_VÝSLEDKY!$G$249:$V$249</c:f>
              <c:numCache>
                <c:formatCode>General</c:formatCode>
                <c:ptCount val="16"/>
                <c:pt idx="0">
                  <c:v>36</c:v>
                </c:pt>
                <c:pt idx="1">
                  <c:v>96</c:v>
                </c:pt>
                <c:pt idx="2">
                  <c:v>100</c:v>
                </c:pt>
                <c:pt idx="3">
                  <c:v>68</c:v>
                </c:pt>
                <c:pt idx="4">
                  <c:v>64</c:v>
                </c:pt>
                <c:pt idx="5">
                  <c:v>140</c:v>
                </c:pt>
                <c:pt idx="6">
                  <c:v>312</c:v>
                </c:pt>
                <c:pt idx="7">
                  <c:v>132</c:v>
                </c:pt>
                <c:pt idx="8">
                  <c:v>232</c:v>
                </c:pt>
                <c:pt idx="9">
                  <c:v>192</c:v>
                </c:pt>
                <c:pt idx="10">
                  <c:v>144</c:v>
                </c:pt>
                <c:pt idx="11">
                  <c:v>360</c:v>
                </c:pt>
                <c:pt idx="12">
                  <c:v>344</c:v>
                </c:pt>
                <c:pt idx="13">
                  <c:v>208</c:v>
                </c:pt>
                <c:pt idx="14">
                  <c:v>180</c:v>
                </c:pt>
                <c:pt idx="15">
                  <c:v>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09-4835-A26E-0E931BC3E959}"/>
            </c:ext>
          </c:extLst>
        </c:ser>
        <c:ser>
          <c:idx val="6"/>
          <c:order val="6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HLAVNÍ_VÝSLEDKY!$G$250:$V$250</c:f>
              <c:numCache>
                <c:formatCode>General</c:formatCode>
                <c:ptCount val="16"/>
                <c:pt idx="0">
                  <c:v>24</c:v>
                </c:pt>
                <c:pt idx="1">
                  <c:v>52</c:v>
                </c:pt>
                <c:pt idx="2">
                  <c:v>60</c:v>
                </c:pt>
                <c:pt idx="3">
                  <c:v>120</c:v>
                </c:pt>
                <c:pt idx="4">
                  <c:v>140</c:v>
                </c:pt>
                <c:pt idx="5">
                  <c:v>160</c:v>
                </c:pt>
                <c:pt idx="6">
                  <c:v>180</c:v>
                </c:pt>
                <c:pt idx="7">
                  <c:v>428</c:v>
                </c:pt>
                <c:pt idx="8">
                  <c:v>472</c:v>
                </c:pt>
                <c:pt idx="9">
                  <c:v>360</c:v>
                </c:pt>
                <c:pt idx="10">
                  <c:v>240</c:v>
                </c:pt>
                <c:pt idx="11">
                  <c:v>308</c:v>
                </c:pt>
                <c:pt idx="12">
                  <c:v>276</c:v>
                </c:pt>
                <c:pt idx="13">
                  <c:v>384</c:v>
                </c:pt>
                <c:pt idx="14">
                  <c:v>532</c:v>
                </c:pt>
                <c:pt idx="15">
                  <c:v>360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09-4835-A26E-0E931BC3E959}"/>
            </c:ext>
          </c:extLst>
        </c:ser>
        <c:ser>
          <c:idx val="7"/>
          <c:order val="7"/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HLAVNÍ_VÝSLEDKY!$G$251:$V$251</c:f>
              <c:numCache>
                <c:formatCode>General</c:formatCode>
                <c:ptCount val="16"/>
                <c:pt idx="0">
                  <c:v>48</c:v>
                </c:pt>
                <c:pt idx="1">
                  <c:v>96</c:v>
                </c:pt>
                <c:pt idx="2">
                  <c:v>120</c:v>
                </c:pt>
                <c:pt idx="3">
                  <c:v>92</c:v>
                </c:pt>
                <c:pt idx="4">
                  <c:v>112</c:v>
                </c:pt>
                <c:pt idx="5">
                  <c:v>184</c:v>
                </c:pt>
                <c:pt idx="6">
                  <c:v>372</c:v>
                </c:pt>
                <c:pt idx="7">
                  <c:v>168</c:v>
                </c:pt>
                <c:pt idx="8">
                  <c:v>280</c:v>
                </c:pt>
                <c:pt idx="9">
                  <c:v>220</c:v>
                </c:pt>
                <c:pt idx="10">
                  <c:v>164</c:v>
                </c:pt>
                <c:pt idx="11">
                  <c:v>380</c:v>
                </c:pt>
                <c:pt idx="12">
                  <c:v>368</c:v>
                </c:pt>
                <c:pt idx="13">
                  <c:v>308</c:v>
                </c:pt>
                <c:pt idx="14">
                  <c:v>312</c:v>
                </c:pt>
                <c:pt idx="15">
                  <c:v>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09-4835-A26E-0E931BC3E959}"/>
            </c:ext>
          </c:extLst>
        </c:ser>
        <c:ser>
          <c:idx val="8"/>
          <c:order val="8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HLAVNÍ_VÝSLEDKY!$G$252:$V$252</c:f>
              <c:numCache>
                <c:formatCode>General</c:formatCode>
                <c:ptCount val="16"/>
                <c:pt idx="0">
                  <c:v>20</c:v>
                </c:pt>
                <c:pt idx="1">
                  <c:v>64</c:v>
                </c:pt>
                <c:pt idx="2">
                  <c:v>100</c:v>
                </c:pt>
                <c:pt idx="3">
                  <c:v>128</c:v>
                </c:pt>
                <c:pt idx="4">
                  <c:v>168</c:v>
                </c:pt>
                <c:pt idx="5">
                  <c:v>196</c:v>
                </c:pt>
                <c:pt idx="6">
                  <c:v>428</c:v>
                </c:pt>
                <c:pt idx="7">
                  <c:v>448</c:v>
                </c:pt>
                <c:pt idx="8">
                  <c:v>464</c:v>
                </c:pt>
                <c:pt idx="9">
                  <c:v>400</c:v>
                </c:pt>
                <c:pt idx="10">
                  <c:v>280</c:v>
                </c:pt>
                <c:pt idx="11">
                  <c:v>240</c:v>
                </c:pt>
                <c:pt idx="12">
                  <c:v>236</c:v>
                </c:pt>
                <c:pt idx="13">
                  <c:v>308</c:v>
                </c:pt>
                <c:pt idx="14">
                  <c:v>412</c:v>
                </c:pt>
                <c:pt idx="15">
                  <c:v>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09-4835-A26E-0E931BC3E9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1942320"/>
        <c:axId val="651948224"/>
      </c:barChart>
      <c:catAx>
        <c:axId val="651942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1948224"/>
        <c:crosses val="autoZero"/>
        <c:auto val="1"/>
        <c:lblAlgn val="ctr"/>
        <c:lblOffset val="100"/>
        <c:noMultiLvlLbl val="0"/>
      </c:catAx>
      <c:valAx>
        <c:axId val="651948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1942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432691825210842E-2"/>
          <c:y val="6.1027996500437443E-2"/>
          <c:w val="0.92457965348285398"/>
          <c:h val="0.498042869641294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HLAVNÍ_VÝSLEDKY!$G$253:$V$253</c:f>
              <c:numCache>
                <c:formatCode>General</c:formatCode>
                <c:ptCount val="16"/>
                <c:pt idx="0">
                  <c:v>8</c:v>
                </c:pt>
                <c:pt idx="1">
                  <c:v>8</c:v>
                </c:pt>
                <c:pt idx="2">
                  <c:v>0</c:v>
                </c:pt>
                <c:pt idx="3">
                  <c:v>0</c:v>
                </c:pt>
                <c:pt idx="4">
                  <c:v>12</c:v>
                </c:pt>
                <c:pt idx="5">
                  <c:v>0</c:v>
                </c:pt>
                <c:pt idx="6">
                  <c:v>8</c:v>
                </c:pt>
                <c:pt idx="7">
                  <c:v>0</c:v>
                </c:pt>
                <c:pt idx="8">
                  <c:v>12</c:v>
                </c:pt>
                <c:pt idx="9">
                  <c:v>4</c:v>
                </c:pt>
                <c:pt idx="10">
                  <c:v>12</c:v>
                </c:pt>
                <c:pt idx="11">
                  <c:v>20</c:v>
                </c:pt>
                <c:pt idx="12">
                  <c:v>32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60-43E3-BFE3-12E472EA1B60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HLAVNÍ_VÝSLEDKY!$G$254:$V$254</c:f>
              <c:numCache>
                <c:formatCode>General</c:formatCode>
                <c:ptCount val="16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0</c:v>
                </c:pt>
                <c:pt idx="4">
                  <c:v>68</c:v>
                </c:pt>
                <c:pt idx="5">
                  <c:v>12</c:v>
                </c:pt>
                <c:pt idx="6">
                  <c:v>20</c:v>
                </c:pt>
                <c:pt idx="7">
                  <c:v>64</c:v>
                </c:pt>
                <c:pt idx="8">
                  <c:v>24</c:v>
                </c:pt>
                <c:pt idx="9">
                  <c:v>12</c:v>
                </c:pt>
                <c:pt idx="10">
                  <c:v>28</c:v>
                </c:pt>
                <c:pt idx="11">
                  <c:v>28</c:v>
                </c:pt>
                <c:pt idx="12">
                  <c:v>24</c:v>
                </c:pt>
                <c:pt idx="13">
                  <c:v>0</c:v>
                </c:pt>
                <c:pt idx="14">
                  <c:v>0</c:v>
                </c:pt>
                <c:pt idx="15">
                  <c:v>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60-43E3-BFE3-12E472EA1B60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HLAVNÍ_VÝSLEDKY!$G$255:$V$255</c:f>
              <c:numCache>
                <c:formatCode>General</c:formatCode>
                <c:ptCount val="16"/>
                <c:pt idx="0">
                  <c:v>12</c:v>
                </c:pt>
                <c:pt idx="1">
                  <c:v>24</c:v>
                </c:pt>
                <c:pt idx="2">
                  <c:v>40</c:v>
                </c:pt>
                <c:pt idx="3">
                  <c:v>60</c:v>
                </c:pt>
                <c:pt idx="4">
                  <c:v>40</c:v>
                </c:pt>
                <c:pt idx="5">
                  <c:v>56</c:v>
                </c:pt>
                <c:pt idx="6">
                  <c:v>40</c:v>
                </c:pt>
                <c:pt idx="7">
                  <c:v>28</c:v>
                </c:pt>
                <c:pt idx="8">
                  <c:v>32</c:v>
                </c:pt>
                <c:pt idx="9">
                  <c:v>64</c:v>
                </c:pt>
                <c:pt idx="10">
                  <c:v>76</c:v>
                </c:pt>
                <c:pt idx="11">
                  <c:v>28</c:v>
                </c:pt>
                <c:pt idx="12">
                  <c:v>48</c:v>
                </c:pt>
                <c:pt idx="13">
                  <c:v>44</c:v>
                </c:pt>
                <c:pt idx="14">
                  <c:v>48</c:v>
                </c:pt>
                <c:pt idx="15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60-43E3-BFE3-12E472EA1B60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HLAVNÍ_VÝSLEDKY!$G$256:$V$256</c:f>
              <c:numCache>
                <c:formatCode>General</c:formatCode>
                <c:ptCount val="16"/>
                <c:pt idx="0">
                  <c:v>0</c:v>
                </c:pt>
                <c:pt idx="1">
                  <c:v>28</c:v>
                </c:pt>
                <c:pt idx="2">
                  <c:v>0</c:v>
                </c:pt>
                <c:pt idx="3">
                  <c:v>0</c:v>
                </c:pt>
                <c:pt idx="4">
                  <c:v>72</c:v>
                </c:pt>
                <c:pt idx="5">
                  <c:v>96</c:v>
                </c:pt>
                <c:pt idx="6">
                  <c:v>80</c:v>
                </c:pt>
                <c:pt idx="7">
                  <c:v>88</c:v>
                </c:pt>
                <c:pt idx="8">
                  <c:v>72</c:v>
                </c:pt>
                <c:pt idx="9">
                  <c:v>60</c:v>
                </c:pt>
                <c:pt idx="10">
                  <c:v>60</c:v>
                </c:pt>
                <c:pt idx="11">
                  <c:v>120</c:v>
                </c:pt>
                <c:pt idx="12">
                  <c:v>64</c:v>
                </c:pt>
                <c:pt idx="13">
                  <c:v>56</c:v>
                </c:pt>
                <c:pt idx="14">
                  <c:v>64</c:v>
                </c:pt>
                <c:pt idx="15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960-43E3-BFE3-12E472EA1B60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HLAVNÍ_VÝSLEDKY!$G$257:$V$257</c:f>
              <c:numCache>
                <c:formatCode>General</c:formatCode>
                <c:ptCount val="16"/>
                <c:pt idx="0">
                  <c:v>20</c:v>
                </c:pt>
                <c:pt idx="1">
                  <c:v>32</c:v>
                </c:pt>
                <c:pt idx="2">
                  <c:v>40</c:v>
                </c:pt>
                <c:pt idx="3">
                  <c:v>60</c:v>
                </c:pt>
                <c:pt idx="4">
                  <c:v>52</c:v>
                </c:pt>
                <c:pt idx="5">
                  <c:v>56</c:v>
                </c:pt>
                <c:pt idx="6">
                  <c:v>48</c:v>
                </c:pt>
                <c:pt idx="7">
                  <c:v>28</c:v>
                </c:pt>
                <c:pt idx="8">
                  <c:v>44</c:v>
                </c:pt>
                <c:pt idx="9">
                  <c:v>68</c:v>
                </c:pt>
                <c:pt idx="10">
                  <c:v>88</c:v>
                </c:pt>
                <c:pt idx="11">
                  <c:v>48</c:v>
                </c:pt>
                <c:pt idx="12">
                  <c:v>80</c:v>
                </c:pt>
                <c:pt idx="13">
                  <c:v>44</c:v>
                </c:pt>
                <c:pt idx="14">
                  <c:v>48</c:v>
                </c:pt>
                <c:pt idx="15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960-43E3-BFE3-12E472EA1B60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HLAVNÍ_VÝSLEDKY!$G$258:$V$258</c:f>
              <c:numCache>
                <c:formatCode>General</c:formatCode>
                <c:ptCount val="16"/>
                <c:pt idx="0">
                  <c:v>0</c:v>
                </c:pt>
                <c:pt idx="1">
                  <c:v>36</c:v>
                </c:pt>
                <c:pt idx="2">
                  <c:v>12</c:v>
                </c:pt>
                <c:pt idx="3">
                  <c:v>0</c:v>
                </c:pt>
                <c:pt idx="4">
                  <c:v>140</c:v>
                </c:pt>
                <c:pt idx="5">
                  <c:v>108</c:v>
                </c:pt>
                <c:pt idx="6">
                  <c:v>100</c:v>
                </c:pt>
                <c:pt idx="7">
                  <c:v>152</c:v>
                </c:pt>
                <c:pt idx="8">
                  <c:v>96</c:v>
                </c:pt>
                <c:pt idx="9">
                  <c:v>72</c:v>
                </c:pt>
                <c:pt idx="10">
                  <c:v>88</c:v>
                </c:pt>
                <c:pt idx="11">
                  <c:v>148</c:v>
                </c:pt>
                <c:pt idx="12">
                  <c:v>88</c:v>
                </c:pt>
                <c:pt idx="13">
                  <c:v>56</c:v>
                </c:pt>
                <c:pt idx="14">
                  <c:v>64</c:v>
                </c:pt>
                <c:pt idx="15">
                  <c:v>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960-43E3-BFE3-12E472EA1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75342384"/>
        <c:axId val="675343040"/>
      </c:barChart>
      <c:catAx>
        <c:axId val="675342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5343040"/>
        <c:crosses val="autoZero"/>
        <c:auto val="1"/>
        <c:lblAlgn val="ctr"/>
        <c:lblOffset val="100"/>
        <c:noMultiLvlLbl val="0"/>
      </c:catAx>
      <c:valAx>
        <c:axId val="675343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5342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432691825210842E-2"/>
          <c:y val="6.1027996500437443E-2"/>
          <c:w val="0.92457965348285398"/>
          <c:h val="0.5886316710411199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HLAVNÍ_VÝSLEDKY!$G$259:$V$259</c:f>
              <c:numCache>
                <c:formatCode>General</c:formatCode>
                <c:ptCount val="16"/>
                <c:pt idx="0">
                  <c:v>36</c:v>
                </c:pt>
                <c:pt idx="1">
                  <c:v>28</c:v>
                </c:pt>
                <c:pt idx="2">
                  <c:v>84</c:v>
                </c:pt>
                <c:pt idx="3">
                  <c:v>60</c:v>
                </c:pt>
                <c:pt idx="4">
                  <c:v>84</c:v>
                </c:pt>
                <c:pt idx="5">
                  <c:v>128</c:v>
                </c:pt>
                <c:pt idx="6">
                  <c:v>144</c:v>
                </c:pt>
                <c:pt idx="7">
                  <c:v>128</c:v>
                </c:pt>
                <c:pt idx="8">
                  <c:v>116</c:v>
                </c:pt>
                <c:pt idx="9">
                  <c:v>64</c:v>
                </c:pt>
                <c:pt idx="10">
                  <c:v>24</c:v>
                </c:pt>
                <c:pt idx="11">
                  <c:v>52</c:v>
                </c:pt>
                <c:pt idx="12">
                  <c:v>56</c:v>
                </c:pt>
                <c:pt idx="13">
                  <c:v>100</c:v>
                </c:pt>
                <c:pt idx="14">
                  <c:v>156</c:v>
                </c:pt>
                <c:pt idx="15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9C-4FE2-B8F2-C5852EFD67B6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HLAVNÍ_VÝSLEDKY!$G$260:$V$260</c:f>
              <c:numCache>
                <c:formatCode>General</c:formatCode>
                <c:ptCount val="16"/>
                <c:pt idx="0">
                  <c:v>12</c:v>
                </c:pt>
                <c:pt idx="1">
                  <c:v>24</c:v>
                </c:pt>
                <c:pt idx="2">
                  <c:v>28</c:v>
                </c:pt>
                <c:pt idx="3">
                  <c:v>40</c:v>
                </c:pt>
                <c:pt idx="4">
                  <c:v>84</c:v>
                </c:pt>
                <c:pt idx="5">
                  <c:v>148</c:v>
                </c:pt>
                <c:pt idx="6">
                  <c:v>180</c:v>
                </c:pt>
                <c:pt idx="7">
                  <c:v>148</c:v>
                </c:pt>
                <c:pt idx="8">
                  <c:v>132</c:v>
                </c:pt>
                <c:pt idx="9">
                  <c:v>92</c:v>
                </c:pt>
                <c:pt idx="10">
                  <c:v>84</c:v>
                </c:pt>
                <c:pt idx="11">
                  <c:v>108</c:v>
                </c:pt>
                <c:pt idx="12">
                  <c:v>96</c:v>
                </c:pt>
                <c:pt idx="13">
                  <c:v>124</c:v>
                </c:pt>
                <c:pt idx="14">
                  <c:v>100</c:v>
                </c:pt>
                <c:pt idx="15">
                  <c:v>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9C-4FE2-B8F2-C5852EFD67B6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HLAVNÍ_VÝSLEDKY!$G$261:$V$261</c:f>
              <c:numCache>
                <c:formatCode>General</c:formatCode>
                <c:ptCount val="16"/>
                <c:pt idx="0">
                  <c:v>8</c:v>
                </c:pt>
                <c:pt idx="1">
                  <c:v>20</c:v>
                </c:pt>
                <c:pt idx="2">
                  <c:v>60</c:v>
                </c:pt>
                <c:pt idx="3">
                  <c:v>96</c:v>
                </c:pt>
                <c:pt idx="4">
                  <c:v>88</c:v>
                </c:pt>
                <c:pt idx="5">
                  <c:v>36</c:v>
                </c:pt>
                <c:pt idx="6">
                  <c:v>80</c:v>
                </c:pt>
                <c:pt idx="7">
                  <c:v>96</c:v>
                </c:pt>
                <c:pt idx="8">
                  <c:v>84</c:v>
                </c:pt>
                <c:pt idx="9">
                  <c:v>52</c:v>
                </c:pt>
                <c:pt idx="10">
                  <c:v>28</c:v>
                </c:pt>
                <c:pt idx="11">
                  <c:v>60</c:v>
                </c:pt>
                <c:pt idx="12">
                  <c:v>68</c:v>
                </c:pt>
                <c:pt idx="13">
                  <c:v>104</c:v>
                </c:pt>
                <c:pt idx="14">
                  <c:v>184</c:v>
                </c:pt>
                <c:pt idx="15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9C-4FE2-B8F2-C5852EFD67B6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HLAVNÍ_VÝSLEDKY!$G$262:$V$262</c:f>
              <c:numCache>
                <c:formatCode>General</c:formatCode>
                <c:ptCount val="16"/>
                <c:pt idx="0">
                  <c:v>8</c:v>
                </c:pt>
                <c:pt idx="1">
                  <c:v>20</c:v>
                </c:pt>
                <c:pt idx="2">
                  <c:v>12</c:v>
                </c:pt>
                <c:pt idx="3">
                  <c:v>28</c:v>
                </c:pt>
                <c:pt idx="4">
                  <c:v>72</c:v>
                </c:pt>
                <c:pt idx="5">
                  <c:v>168</c:v>
                </c:pt>
                <c:pt idx="6">
                  <c:v>184</c:v>
                </c:pt>
                <c:pt idx="7">
                  <c:v>124</c:v>
                </c:pt>
                <c:pt idx="8">
                  <c:v>104</c:v>
                </c:pt>
                <c:pt idx="9">
                  <c:v>68</c:v>
                </c:pt>
                <c:pt idx="10">
                  <c:v>136</c:v>
                </c:pt>
                <c:pt idx="11">
                  <c:v>108</c:v>
                </c:pt>
                <c:pt idx="12">
                  <c:v>120</c:v>
                </c:pt>
                <c:pt idx="13">
                  <c:v>128</c:v>
                </c:pt>
                <c:pt idx="14">
                  <c:v>216</c:v>
                </c:pt>
                <c:pt idx="15">
                  <c:v>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59C-4FE2-B8F2-C5852EFD67B6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HLAVNÍ_VÝSLEDKY!$G$263:$V$263</c:f>
              <c:numCache>
                <c:formatCode>General</c:formatCode>
                <c:ptCount val="16"/>
                <c:pt idx="0">
                  <c:v>44</c:v>
                </c:pt>
                <c:pt idx="1">
                  <c:v>48</c:v>
                </c:pt>
                <c:pt idx="2">
                  <c:v>144</c:v>
                </c:pt>
                <c:pt idx="3">
                  <c:v>156</c:v>
                </c:pt>
                <c:pt idx="4">
                  <c:v>172</c:v>
                </c:pt>
                <c:pt idx="5">
                  <c:v>164</c:v>
                </c:pt>
                <c:pt idx="6">
                  <c:v>224</c:v>
                </c:pt>
                <c:pt idx="7">
                  <c:v>224</c:v>
                </c:pt>
                <c:pt idx="8">
                  <c:v>200</c:v>
                </c:pt>
                <c:pt idx="9">
                  <c:v>116</c:v>
                </c:pt>
                <c:pt idx="10">
                  <c:v>52</c:v>
                </c:pt>
                <c:pt idx="11">
                  <c:v>112</c:v>
                </c:pt>
                <c:pt idx="12">
                  <c:v>124</c:v>
                </c:pt>
                <c:pt idx="13">
                  <c:v>204</c:v>
                </c:pt>
                <c:pt idx="14">
                  <c:v>340</c:v>
                </c:pt>
                <c:pt idx="15">
                  <c:v>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59C-4FE2-B8F2-C5852EFD67B6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HLAVNÍ_VÝSLEDKY!$G$264:$V$264</c:f>
              <c:numCache>
                <c:formatCode>General</c:formatCode>
                <c:ptCount val="16"/>
                <c:pt idx="0">
                  <c:v>20</c:v>
                </c:pt>
                <c:pt idx="1">
                  <c:v>44</c:v>
                </c:pt>
                <c:pt idx="2">
                  <c:v>40</c:v>
                </c:pt>
                <c:pt idx="3">
                  <c:v>68</c:v>
                </c:pt>
                <c:pt idx="4">
                  <c:v>156</c:v>
                </c:pt>
                <c:pt idx="5">
                  <c:v>316</c:v>
                </c:pt>
                <c:pt idx="6">
                  <c:v>364</c:v>
                </c:pt>
                <c:pt idx="7">
                  <c:v>272</c:v>
                </c:pt>
                <c:pt idx="8">
                  <c:v>236</c:v>
                </c:pt>
                <c:pt idx="9">
                  <c:v>160</c:v>
                </c:pt>
                <c:pt idx="10">
                  <c:v>220</c:v>
                </c:pt>
                <c:pt idx="11">
                  <c:v>216</c:v>
                </c:pt>
                <c:pt idx="12">
                  <c:v>216</c:v>
                </c:pt>
                <c:pt idx="13">
                  <c:v>252</c:v>
                </c:pt>
                <c:pt idx="14">
                  <c:v>316</c:v>
                </c:pt>
                <c:pt idx="15">
                  <c:v>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59C-4FE2-B8F2-C5852EFD67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75285968"/>
        <c:axId val="675290560"/>
      </c:barChart>
      <c:catAx>
        <c:axId val="675285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5290560"/>
        <c:crosses val="autoZero"/>
        <c:auto val="1"/>
        <c:lblAlgn val="ctr"/>
        <c:lblOffset val="100"/>
        <c:noMultiLvlLbl val="0"/>
      </c:catAx>
      <c:valAx>
        <c:axId val="675290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5285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133028679322162E-2"/>
          <c:y val="4.0685331000291633E-2"/>
          <c:w val="0.91587931662874267"/>
          <c:h val="0.665361913094196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HLAVNÍ_VÝSLEDKY!$G$265:$V$265</c:f>
              <c:numCache>
                <c:formatCode>General</c:formatCode>
                <c:ptCount val="16"/>
                <c:pt idx="0">
                  <c:v>48</c:v>
                </c:pt>
                <c:pt idx="1">
                  <c:v>124</c:v>
                </c:pt>
                <c:pt idx="2">
                  <c:v>348</c:v>
                </c:pt>
                <c:pt idx="3">
                  <c:v>416</c:v>
                </c:pt>
                <c:pt idx="4">
                  <c:v>388</c:v>
                </c:pt>
                <c:pt idx="5">
                  <c:v>256</c:v>
                </c:pt>
                <c:pt idx="6">
                  <c:v>196</c:v>
                </c:pt>
                <c:pt idx="7">
                  <c:v>220</c:v>
                </c:pt>
                <c:pt idx="8">
                  <c:v>268</c:v>
                </c:pt>
                <c:pt idx="9">
                  <c:v>224</c:v>
                </c:pt>
                <c:pt idx="10">
                  <c:v>312</c:v>
                </c:pt>
                <c:pt idx="11">
                  <c:v>284</c:v>
                </c:pt>
                <c:pt idx="12">
                  <c:v>448</c:v>
                </c:pt>
                <c:pt idx="13">
                  <c:v>348</c:v>
                </c:pt>
                <c:pt idx="14">
                  <c:v>348</c:v>
                </c:pt>
                <c:pt idx="15">
                  <c:v>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CD-45A8-935E-88A377D55904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HLAVNÍ_VÝSLEDKY!$G$266:$V$266</c:f>
              <c:numCache>
                <c:formatCode>General</c:formatCode>
                <c:ptCount val="16"/>
                <c:pt idx="0">
                  <c:v>84</c:v>
                </c:pt>
                <c:pt idx="1">
                  <c:v>256</c:v>
                </c:pt>
                <c:pt idx="2">
                  <c:v>420</c:v>
                </c:pt>
                <c:pt idx="3">
                  <c:v>388</c:v>
                </c:pt>
                <c:pt idx="4">
                  <c:v>400</c:v>
                </c:pt>
                <c:pt idx="5">
                  <c:v>268</c:v>
                </c:pt>
                <c:pt idx="6">
                  <c:v>152</c:v>
                </c:pt>
                <c:pt idx="7">
                  <c:v>188</c:v>
                </c:pt>
                <c:pt idx="8">
                  <c:v>324</c:v>
                </c:pt>
                <c:pt idx="9">
                  <c:v>192</c:v>
                </c:pt>
                <c:pt idx="10">
                  <c:v>432</c:v>
                </c:pt>
                <c:pt idx="11">
                  <c:v>536</c:v>
                </c:pt>
                <c:pt idx="12">
                  <c:v>556</c:v>
                </c:pt>
                <c:pt idx="13">
                  <c:v>388</c:v>
                </c:pt>
                <c:pt idx="14">
                  <c:v>264</c:v>
                </c:pt>
                <c:pt idx="15">
                  <c:v>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CD-45A8-935E-88A377D55904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HLAVNÍ_VÝSLEDKY!$G$267:$V$267</c:f>
              <c:numCache>
                <c:formatCode>General</c:formatCode>
                <c:ptCount val="16"/>
                <c:pt idx="0">
                  <c:v>28</c:v>
                </c:pt>
                <c:pt idx="1">
                  <c:v>92</c:v>
                </c:pt>
                <c:pt idx="2">
                  <c:v>148</c:v>
                </c:pt>
                <c:pt idx="3">
                  <c:v>192</c:v>
                </c:pt>
                <c:pt idx="4">
                  <c:v>144</c:v>
                </c:pt>
                <c:pt idx="5">
                  <c:v>88</c:v>
                </c:pt>
                <c:pt idx="6">
                  <c:v>92</c:v>
                </c:pt>
                <c:pt idx="7">
                  <c:v>104</c:v>
                </c:pt>
                <c:pt idx="8">
                  <c:v>148</c:v>
                </c:pt>
                <c:pt idx="9">
                  <c:v>140</c:v>
                </c:pt>
                <c:pt idx="10">
                  <c:v>208</c:v>
                </c:pt>
                <c:pt idx="11">
                  <c:v>168</c:v>
                </c:pt>
                <c:pt idx="12">
                  <c:v>220</c:v>
                </c:pt>
                <c:pt idx="13">
                  <c:v>152</c:v>
                </c:pt>
                <c:pt idx="14">
                  <c:v>204</c:v>
                </c:pt>
                <c:pt idx="15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CD-45A8-935E-88A377D55904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HLAVNÍ_VÝSLEDKY!$G$268:$V$268</c:f>
              <c:numCache>
                <c:formatCode>General</c:formatCode>
                <c:ptCount val="16"/>
                <c:pt idx="0">
                  <c:v>24</c:v>
                </c:pt>
                <c:pt idx="1">
                  <c:v>76</c:v>
                </c:pt>
                <c:pt idx="2">
                  <c:v>116</c:v>
                </c:pt>
                <c:pt idx="3">
                  <c:v>196</c:v>
                </c:pt>
                <c:pt idx="4">
                  <c:v>176</c:v>
                </c:pt>
                <c:pt idx="5">
                  <c:v>148</c:v>
                </c:pt>
                <c:pt idx="6">
                  <c:v>84</c:v>
                </c:pt>
                <c:pt idx="7">
                  <c:v>136</c:v>
                </c:pt>
                <c:pt idx="8">
                  <c:v>156</c:v>
                </c:pt>
                <c:pt idx="9">
                  <c:v>228</c:v>
                </c:pt>
                <c:pt idx="10">
                  <c:v>148</c:v>
                </c:pt>
                <c:pt idx="11">
                  <c:v>140</c:v>
                </c:pt>
                <c:pt idx="12">
                  <c:v>156</c:v>
                </c:pt>
                <c:pt idx="13">
                  <c:v>84</c:v>
                </c:pt>
                <c:pt idx="14">
                  <c:v>132</c:v>
                </c:pt>
                <c:pt idx="15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CD-45A8-935E-88A377D55904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HLAVNÍ_VÝSLEDKY!$G$269:$V$269</c:f>
              <c:numCache>
                <c:formatCode>General</c:formatCode>
                <c:ptCount val="16"/>
                <c:pt idx="0">
                  <c:v>88</c:v>
                </c:pt>
                <c:pt idx="1">
                  <c:v>616</c:v>
                </c:pt>
                <c:pt idx="2">
                  <c:v>688</c:v>
                </c:pt>
                <c:pt idx="3">
                  <c:v>1068</c:v>
                </c:pt>
                <c:pt idx="4">
                  <c:v>996</c:v>
                </c:pt>
                <c:pt idx="5">
                  <c:v>396</c:v>
                </c:pt>
                <c:pt idx="6">
                  <c:v>312</c:v>
                </c:pt>
                <c:pt idx="7">
                  <c:v>388</c:v>
                </c:pt>
                <c:pt idx="8">
                  <c:v>388</c:v>
                </c:pt>
                <c:pt idx="9">
                  <c:v>328</c:v>
                </c:pt>
                <c:pt idx="10">
                  <c:v>392</c:v>
                </c:pt>
                <c:pt idx="11">
                  <c:v>788</c:v>
                </c:pt>
                <c:pt idx="12">
                  <c:v>892</c:v>
                </c:pt>
                <c:pt idx="13">
                  <c:v>712</c:v>
                </c:pt>
                <c:pt idx="14">
                  <c:v>748</c:v>
                </c:pt>
                <c:pt idx="15">
                  <c:v>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0CD-45A8-935E-88A377D55904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HLAVNÍ_VÝSLEDKY!$G$270:$V$270</c:f>
              <c:numCache>
                <c:formatCode>General</c:formatCode>
                <c:ptCount val="16"/>
                <c:pt idx="0">
                  <c:v>72</c:v>
                </c:pt>
                <c:pt idx="1">
                  <c:v>184</c:v>
                </c:pt>
                <c:pt idx="2">
                  <c:v>364</c:v>
                </c:pt>
                <c:pt idx="3">
                  <c:v>980</c:v>
                </c:pt>
                <c:pt idx="4">
                  <c:v>1084</c:v>
                </c:pt>
                <c:pt idx="5">
                  <c:v>496</c:v>
                </c:pt>
                <c:pt idx="6">
                  <c:v>416</c:v>
                </c:pt>
                <c:pt idx="7">
                  <c:v>536</c:v>
                </c:pt>
                <c:pt idx="8">
                  <c:v>748</c:v>
                </c:pt>
                <c:pt idx="9">
                  <c:v>448</c:v>
                </c:pt>
                <c:pt idx="10">
                  <c:v>552</c:v>
                </c:pt>
                <c:pt idx="11">
                  <c:v>804</c:v>
                </c:pt>
                <c:pt idx="12">
                  <c:v>748</c:v>
                </c:pt>
                <c:pt idx="13">
                  <c:v>680</c:v>
                </c:pt>
                <c:pt idx="14">
                  <c:v>716</c:v>
                </c:pt>
                <c:pt idx="15">
                  <c:v>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0CD-45A8-935E-88A377D55904}"/>
            </c:ext>
          </c:extLst>
        </c:ser>
        <c:ser>
          <c:idx val="6"/>
          <c:order val="6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HLAVNÍ_VÝSLEDKY!$G$271:$V$271</c:f>
              <c:numCache>
                <c:formatCode>General</c:formatCode>
                <c:ptCount val="16"/>
                <c:pt idx="0">
                  <c:v>108</c:v>
                </c:pt>
                <c:pt idx="1">
                  <c:v>332</c:v>
                </c:pt>
                <c:pt idx="2">
                  <c:v>536</c:v>
                </c:pt>
                <c:pt idx="3">
                  <c:v>584</c:v>
                </c:pt>
                <c:pt idx="4">
                  <c:v>576</c:v>
                </c:pt>
                <c:pt idx="5">
                  <c:v>416</c:v>
                </c:pt>
                <c:pt idx="6">
                  <c:v>236</c:v>
                </c:pt>
                <c:pt idx="7">
                  <c:v>324</c:v>
                </c:pt>
                <c:pt idx="8">
                  <c:v>480</c:v>
                </c:pt>
                <c:pt idx="9">
                  <c:v>420</c:v>
                </c:pt>
                <c:pt idx="10">
                  <c:v>580</c:v>
                </c:pt>
                <c:pt idx="11">
                  <c:v>676</c:v>
                </c:pt>
                <c:pt idx="12">
                  <c:v>712</c:v>
                </c:pt>
                <c:pt idx="13">
                  <c:v>472</c:v>
                </c:pt>
                <c:pt idx="14">
                  <c:v>396</c:v>
                </c:pt>
                <c:pt idx="15">
                  <c:v>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0CD-45A8-935E-88A377D55904}"/>
            </c:ext>
          </c:extLst>
        </c:ser>
        <c:ser>
          <c:idx val="7"/>
          <c:order val="7"/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HLAVNÍ_VÝSLEDKY!$G$272:$V$272</c:f>
              <c:numCache>
                <c:formatCode>General</c:formatCode>
                <c:ptCount val="16"/>
                <c:pt idx="0">
                  <c:v>120</c:v>
                </c:pt>
                <c:pt idx="1">
                  <c:v>308</c:v>
                </c:pt>
                <c:pt idx="2">
                  <c:v>712</c:v>
                </c:pt>
                <c:pt idx="3">
                  <c:v>1396</c:v>
                </c:pt>
                <c:pt idx="4">
                  <c:v>1472</c:v>
                </c:pt>
                <c:pt idx="5">
                  <c:v>752</c:v>
                </c:pt>
                <c:pt idx="6">
                  <c:v>612</c:v>
                </c:pt>
                <c:pt idx="7">
                  <c:v>756</c:v>
                </c:pt>
                <c:pt idx="8">
                  <c:v>1016</c:v>
                </c:pt>
                <c:pt idx="9">
                  <c:v>672</c:v>
                </c:pt>
                <c:pt idx="10">
                  <c:v>864</c:v>
                </c:pt>
                <c:pt idx="11">
                  <c:v>1088</c:v>
                </c:pt>
                <c:pt idx="12">
                  <c:v>1196</c:v>
                </c:pt>
                <c:pt idx="13">
                  <c:v>1028</c:v>
                </c:pt>
                <c:pt idx="14">
                  <c:v>1064</c:v>
                </c:pt>
                <c:pt idx="15">
                  <c:v>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0CD-45A8-935E-88A377D55904}"/>
            </c:ext>
          </c:extLst>
        </c:ser>
        <c:ser>
          <c:idx val="8"/>
          <c:order val="8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HLAVNÍ_VÝSLEDKY!$G$273:$V$273</c:f>
              <c:numCache>
                <c:formatCode>General</c:formatCode>
                <c:ptCount val="16"/>
                <c:pt idx="0">
                  <c:v>116</c:v>
                </c:pt>
                <c:pt idx="1">
                  <c:v>708</c:v>
                </c:pt>
                <c:pt idx="2">
                  <c:v>836</c:v>
                </c:pt>
                <c:pt idx="3">
                  <c:v>1260</c:v>
                </c:pt>
                <c:pt idx="4">
                  <c:v>1140</c:v>
                </c:pt>
                <c:pt idx="5">
                  <c:v>484</c:v>
                </c:pt>
                <c:pt idx="6">
                  <c:v>404</c:v>
                </c:pt>
                <c:pt idx="7">
                  <c:v>492</c:v>
                </c:pt>
                <c:pt idx="8">
                  <c:v>536</c:v>
                </c:pt>
                <c:pt idx="9">
                  <c:v>468</c:v>
                </c:pt>
                <c:pt idx="10">
                  <c:v>600</c:v>
                </c:pt>
                <c:pt idx="11">
                  <c:v>956</c:v>
                </c:pt>
                <c:pt idx="12">
                  <c:v>1112</c:v>
                </c:pt>
                <c:pt idx="13">
                  <c:v>864</c:v>
                </c:pt>
                <c:pt idx="14">
                  <c:v>952</c:v>
                </c:pt>
                <c:pt idx="15">
                  <c:v>268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0CD-45A8-935E-88A377D559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73868320"/>
        <c:axId val="673869304"/>
      </c:barChart>
      <c:catAx>
        <c:axId val="673868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3869304"/>
        <c:crosses val="autoZero"/>
        <c:auto val="1"/>
        <c:lblAlgn val="ctr"/>
        <c:lblOffset val="100"/>
        <c:noMultiLvlLbl val="0"/>
      </c:catAx>
      <c:valAx>
        <c:axId val="673869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3868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31070597902949E-2"/>
          <c:y val="4.1642638049628498E-2"/>
          <c:w val="0.91697500851850899"/>
          <c:h val="0.657488033450222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HLAVNÍ_VÝSLEDKY!$G$27:$V$27</c:f>
              <c:numCache>
                <c:formatCode>General</c:formatCode>
                <c:ptCount val="16"/>
                <c:pt idx="0">
                  <c:v>16</c:v>
                </c:pt>
                <c:pt idx="1">
                  <c:v>84</c:v>
                </c:pt>
                <c:pt idx="2">
                  <c:v>152</c:v>
                </c:pt>
                <c:pt idx="3">
                  <c:v>156</c:v>
                </c:pt>
                <c:pt idx="4">
                  <c:v>256</c:v>
                </c:pt>
                <c:pt idx="5">
                  <c:v>212</c:v>
                </c:pt>
                <c:pt idx="6">
                  <c:v>164</c:v>
                </c:pt>
                <c:pt idx="7">
                  <c:v>172</c:v>
                </c:pt>
                <c:pt idx="8">
                  <c:v>192</c:v>
                </c:pt>
                <c:pt idx="9">
                  <c:v>208</c:v>
                </c:pt>
                <c:pt idx="10">
                  <c:v>244</c:v>
                </c:pt>
                <c:pt idx="11">
                  <c:v>192</c:v>
                </c:pt>
                <c:pt idx="12">
                  <c:v>208</c:v>
                </c:pt>
                <c:pt idx="13">
                  <c:v>136</c:v>
                </c:pt>
                <c:pt idx="14">
                  <c:v>156</c:v>
                </c:pt>
                <c:pt idx="15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56-4E2D-8561-4AC976AB53C1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HLAVNÍ_VÝSLEDKY!$G$28:$V$28</c:f>
              <c:numCache>
                <c:formatCode>General</c:formatCode>
                <c:ptCount val="16"/>
                <c:pt idx="0">
                  <c:v>20</c:v>
                </c:pt>
                <c:pt idx="1">
                  <c:v>64</c:v>
                </c:pt>
                <c:pt idx="2">
                  <c:v>124</c:v>
                </c:pt>
                <c:pt idx="3">
                  <c:v>132</c:v>
                </c:pt>
                <c:pt idx="4">
                  <c:v>196</c:v>
                </c:pt>
                <c:pt idx="5">
                  <c:v>220</c:v>
                </c:pt>
                <c:pt idx="6">
                  <c:v>172</c:v>
                </c:pt>
                <c:pt idx="7">
                  <c:v>152</c:v>
                </c:pt>
                <c:pt idx="8">
                  <c:v>176</c:v>
                </c:pt>
                <c:pt idx="9">
                  <c:v>204</c:v>
                </c:pt>
                <c:pt idx="10">
                  <c:v>236</c:v>
                </c:pt>
                <c:pt idx="11">
                  <c:v>248</c:v>
                </c:pt>
                <c:pt idx="12">
                  <c:v>244</c:v>
                </c:pt>
                <c:pt idx="13">
                  <c:v>84</c:v>
                </c:pt>
                <c:pt idx="14">
                  <c:v>104</c:v>
                </c:pt>
                <c:pt idx="15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56-4E2D-8561-4AC976AB53C1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HLAVNÍ_VÝSLEDKY!$G$29:$V$29</c:f>
              <c:numCache>
                <c:formatCode>General</c:formatCode>
                <c:ptCount val="16"/>
                <c:pt idx="0">
                  <c:v>36</c:v>
                </c:pt>
                <c:pt idx="1">
                  <c:v>84</c:v>
                </c:pt>
                <c:pt idx="2">
                  <c:v>152</c:v>
                </c:pt>
                <c:pt idx="3">
                  <c:v>272</c:v>
                </c:pt>
                <c:pt idx="4">
                  <c:v>316</c:v>
                </c:pt>
                <c:pt idx="5">
                  <c:v>348</c:v>
                </c:pt>
                <c:pt idx="6">
                  <c:v>276</c:v>
                </c:pt>
                <c:pt idx="7">
                  <c:v>412</c:v>
                </c:pt>
                <c:pt idx="8">
                  <c:v>588</c:v>
                </c:pt>
                <c:pt idx="9">
                  <c:v>748</c:v>
                </c:pt>
                <c:pt idx="10">
                  <c:v>676</c:v>
                </c:pt>
                <c:pt idx="11">
                  <c:v>584</c:v>
                </c:pt>
                <c:pt idx="12">
                  <c:v>496</c:v>
                </c:pt>
                <c:pt idx="13">
                  <c:v>312</c:v>
                </c:pt>
                <c:pt idx="14">
                  <c:v>64</c:v>
                </c:pt>
                <c:pt idx="15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56-4E2D-8561-4AC976AB53C1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HLAVNÍ_VÝSLEDKY!$G$30:$V$30</c:f>
              <c:numCache>
                <c:formatCode>General</c:formatCode>
                <c:ptCount val="16"/>
                <c:pt idx="0">
                  <c:v>8</c:v>
                </c:pt>
                <c:pt idx="1">
                  <c:v>60</c:v>
                </c:pt>
                <c:pt idx="2">
                  <c:v>72</c:v>
                </c:pt>
                <c:pt idx="3">
                  <c:v>388</c:v>
                </c:pt>
                <c:pt idx="4">
                  <c:v>628</c:v>
                </c:pt>
                <c:pt idx="5">
                  <c:v>788</c:v>
                </c:pt>
                <c:pt idx="6">
                  <c:v>1028</c:v>
                </c:pt>
                <c:pt idx="7">
                  <c:v>1112</c:v>
                </c:pt>
                <c:pt idx="8">
                  <c:v>596</c:v>
                </c:pt>
                <c:pt idx="9">
                  <c:v>852</c:v>
                </c:pt>
                <c:pt idx="10">
                  <c:v>972</c:v>
                </c:pt>
                <c:pt idx="11">
                  <c:v>792</c:v>
                </c:pt>
                <c:pt idx="12">
                  <c:v>416</c:v>
                </c:pt>
                <c:pt idx="13">
                  <c:v>344</c:v>
                </c:pt>
                <c:pt idx="14">
                  <c:v>136</c:v>
                </c:pt>
                <c:pt idx="15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C56-4E2D-8561-4AC976AB53C1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HLAVNÍ_VÝSLEDKY!$G$31:$V$31</c:f>
              <c:numCache>
                <c:formatCode>General</c:formatCode>
                <c:ptCount val="16"/>
                <c:pt idx="0">
                  <c:v>48</c:v>
                </c:pt>
                <c:pt idx="1">
                  <c:v>204</c:v>
                </c:pt>
                <c:pt idx="2">
                  <c:v>312</c:v>
                </c:pt>
                <c:pt idx="3">
                  <c:v>444</c:v>
                </c:pt>
                <c:pt idx="4">
                  <c:v>508</c:v>
                </c:pt>
                <c:pt idx="5">
                  <c:v>552</c:v>
                </c:pt>
                <c:pt idx="6">
                  <c:v>796</c:v>
                </c:pt>
                <c:pt idx="7">
                  <c:v>856</c:v>
                </c:pt>
                <c:pt idx="8">
                  <c:v>748</c:v>
                </c:pt>
                <c:pt idx="9">
                  <c:v>788</c:v>
                </c:pt>
                <c:pt idx="10">
                  <c:v>804</c:v>
                </c:pt>
                <c:pt idx="11">
                  <c:v>796</c:v>
                </c:pt>
                <c:pt idx="12">
                  <c:v>568</c:v>
                </c:pt>
                <c:pt idx="13">
                  <c:v>384</c:v>
                </c:pt>
                <c:pt idx="14">
                  <c:v>244</c:v>
                </c:pt>
                <c:pt idx="15">
                  <c:v>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C56-4E2D-8561-4AC976AB53C1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HLAVNÍ_VÝSLEDKY!$G$32:$V$32</c:f>
              <c:numCache>
                <c:formatCode>General</c:formatCode>
                <c:ptCount val="16"/>
                <c:pt idx="0">
                  <c:v>64</c:v>
                </c:pt>
                <c:pt idx="1">
                  <c:v>244</c:v>
                </c:pt>
                <c:pt idx="2">
                  <c:v>348</c:v>
                </c:pt>
                <c:pt idx="3">
                  <c:v>748</c:v>
                </c:pt>
                <c:pt idx="4">
                  <c:v>1284</c:v>
                </c:pt>
                <c:pt idx="5">
                  <c:v>1416</c:v>
                </c:pt>
                <c:pt idx="6">
                  <c:v>1204</c:v>
                </c:pt>
                <c:pt idx="7">
                  <c:v>1284</c:v>
                </c:pt>
                <c:pt idx="8">
                  <c:v>1212</c:v>
                </c:pt>
                <c:pt idx="9">
                  <c:v>1208</c:v>
                </c:pt>
                <c:pt idx="10">
                  <c:v>1292</c:v>
                </c:pt>
                <c:pt idx="11">
                  <c:v>972</c:v>
                </c:pt>
                <c:pt idx="12">
                  <c:v>816</c:v>
                </c:pt>
                <c:pt idx="13">
                  <c:v>500</c:v>
                </c:pt>
                <c:pt idx="14">
                  <c:v>312</c:v>
                </c:pt>
                <c:pt idx="15">
                  <c:v>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C56-4E2D-8561-4AC976AB53C1}"/>
            </c:ext>
          </c:extLst>
        </c:ser>
        <c:ser>
          <c:idx val="6"/>
          <c:order val="6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HLAVNÍ_VÝSLEDKY!$G$33:$V$33</c:f>
              <c:numCache>
                <c:formatCode>General</c:formatCode>
                <c:ptCount val="16"/>
                <c:pt idx="0">
                  <c:v>64</c:v>
                </c:pt>
                <c:pt idx="1">
                  <c:v>288</c:v>
                </c:pt>
                <c:pt idx="2">
                  <c:v>464</c:v>
                </c:pt>
                <c:pt idx="3">
                  <c:v>600</c:v>
                </c:pt>
                <c:pt idx="4">
                  <c:v>764</c:v>
                </c:pt>
                <c:pt idx="5">
                  <c:v>764</c:v>
                </c:pt>
                <c:pt idx="6">
                  <c:v>960</c:v>
                </c:pt>
                <c:pt idx="7">
                  <c:v>1028</c:v>
                </c:pt>
                <c:pt idx="8">
                  <c:v>940</c:v>
                </c:pt>
                <c:pt idx="9">
                  <c:v>996</c:v>
                </c:pt>
                <c:pt idx="10">
                  <c:v>1048</c:v>
                </c:pt>
                <c:pt idx="11">
                  <c:v>988</c:v>
                </c:pt>
                <c:pt idx="12">
                  <c:v>776</c:v>
                </c:pt>
                <c:pt idx="13">
                  <c:v>520</c:v>
                </c:pt>
                <c:pt idx="14">
                  <c:v>400</c:v>
                </c:pt>
                <c:pt idx="15">
                  <c:v>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C56-4E2D-8561-4AC976AB53C1}"/>
            </c:ext>
          </c:extLst>
        </c:ser>
        <c:ser>
          <c:idx val="7"/>
          <c:order val="7"/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HLAVNÍ_VÝSLEDKY!$G$34:$V$34</c:f>
              <c:numCache>
                <c:formatCode>General</c:formatCode>
                <c:ptCount val="16"/>
                <c:pt idx="0">
                  <c:v>28</c:v>
                </c:pt>
                <c:pt idx="1">
                  <c:v>124</c:v>
                </c:pt>
                <c:pt idx="2">
                  <c:v>196</c:v>
                </c:pt>
                <c:pt idx="3">
                  <c:v>520</c:v>
                </c:pt>
                <c:pt idx="4">
                  <c:v>824</c:v>
                </c:pt>
                <c:pt idx="5">
                  <c:v>1008</c:v>
                </c:pt>
                <c:pt idx="6">
                  <c:v>1200</c:v>
                </c:pt>
                <c:pt idx="7">
                  <c:v>1264</c:v>
                </c:pt>
                <c:pt idx="8">
                  <c:v>772</c:v>
                </c:pt>
                <c:pt idx="9">
                  <c:v>1056</c:v>
                </c:pt>
                <c:pt idx="10">
                  <c:v>1208</c:v>
                </c:pt>
                <c:pt idx="11">
                  <c:v>1040</c:v>
                </c:pt>
                <c:pt idx="12">
                  <c:v>660</c:v>
                </c:pt>
                <c:pt idx="13">
                  <c:v>428</c:v>
                </c:pt>
                <c:pt idx="14">
                  <c:v>240</c:v>
                </c:pt>
                <c:pt idx="15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C56-4E2D-8561-4AC976AB53C1}"/>
            </c:ext>
          </c:extLst>
        </c:ser>
        <c:ser>
          <c:idx val="8"/>
          <c:order val="8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HLAVNÍ_VÝSLEDKY!$G$35:$V$35</c:f>
              <c:numCache>
                <c:formatCode>General</c:formatCode>
                <c:ptCount val="16"/>
                <c:pt idx="0">
                  <c:v>100</c:v>
                </c:pt>
                <c:pt idx="1">
                  <c:v>328</c:v>
                </c:pt>
                <c:pt idx="2">
                  <c:v>500</c:v>
                </c:pt>
                <c:pt idx="3">
                  <c:v>1020</c:v>
                </c:pt>
                <c:pt idx="4">
                  <c:v>1600</c:v>
                </c:pt>
                <c:pt idx="5">
                  <c:v>1764</c:v>
                </c:pt>
                <c:pt idx="6">
                  <c:v>1480</c:v>
                </c:pt>
                <c:pt idx="7">
                  <c:v>1696</c:v>
                </c:pt>
                <c:pt idx="8">
                  <c:v>1800</c:v>
                </c:pt>
                <c:pt idx="9">
                  <c:v>1956</c:v>
                </c:pt>
                <c:pt idx="10">
                  <c:v>1968</c:v>
                </c:pt>
                <c:pt idx="11">
                  <c:v>1556</c:v>
                </c:pt>
                <c:pt idx="12">
                  <c:v>1312</c:v>
                </c:pt>
                <c:pt idx="13">
                  <c:v>812</c:v>
                </c:pt>
                <c:pt idx="14">
                  <c:v>376</c:v>
                </c:pt>
                <c:pt idx="15">
                  <c:v>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C56-4E2D-8561-4AC976AB53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6916032"/>
        <c:axId val="606909472"/>
      </c:barChart>
      <c:catAx>
        <c:axId val="606916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909472"/>
        <c:crosses val="autoZero"/>
        <c:auto val="1"/>
        <c:lblAlgn val="ctr"/>
        <c:lblOffset val="100"/>
        <c:noMultiLvlLbl val="0"/>
      </c:catAx>
      <c:valAx>
        <c:axId val="606909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916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723693079827252E-2"/>
          <c:y val="0.18984878505486849"/>
          <c:w val="0.92556202141771116"/>
          <c:h val="0.6197853161470128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HLAVNÍ_VÝSLEDKY!$G$211:$V$211</c:f>
              <c:numCache>
                <c:formatCode>General</c:formatCode>
                <c:ptCount val="16"/>
                <c:pt idx="0">
                  <c:v>28</c:v>
                </c:pt>
                <c:pt idx="1">
                  <c:v>60</c:v>
                </c:pt>
                <c:pt idx="2">
                  <c:v>48</c:v>
                </c:pt>
                <c:pt idx="3">
                  <c:v>36</c:v>
                </c:pt>
                <c:pt idx="4">
                  <c:v>88</c:v>
                </c:pt>
                <c:pt idx="5">
                  <c:v>124</c:v>
                </c:pt>
                <c:pt idx="6">
                  <c:v>144</c:v>
                </c:pt>
                <c:pt idx="7">
                  <c:v>84</c:v>
                </c:pt>
                <c:pt idx="8">
                  <c:v>88</c:v>
                </c:pt>
                <c:pt idx="9">
                  <c:v>100</c:v>
                </c:pt>
                <c:pt idx="10">
                  <c:v>120</c:v>
                </c:pt>
                <c:pt idx="11">
                  <c:v>84</c:v>
                </c:pt>
                <c:pt idx="12">
                  <c:v>288</c:v>
                </c:pt>
                <c:pt idx="13">
                  <c:v>136</c:v>
                </c:pt>
                <c:pt idx="14">
                  <c:v>216</c:v>
                </c:pt>
                <c:pt idx="15">
                  <c:v>448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D1-4517-A447-4697213326D8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HLAVNÍ_VÝSLEDKY!$G$212:$V$212</c:f>
              <c:numCache>
                <c:formatCode>General</c:formatCode>
                <c:ptCount val="16"/>
                <c:pt idx="0">
                  <c:v>12</c:v>
                </c:pt>
                <c:pt idx="1">
                  <c:v>8</c:v>
                </c:pt>
                <c:pt idx="2">
                  <c:v>52</c:v>
                </c:pt>
                <c:pt idx="3">
                  <c:v>36</c:v>
                </c:pt>
                <c:pt idx="4">
                  <c:v>88</c:v>
                </c:pt>
                <c:pt idx="5">
                  <c:v>108</c:v>
                </c:pt>
                <c:pt idx="6">
                  <c:v>84</c:v>
                </c:pt>
                <c:pt idx="7">
                  <c:v>52</c:v>
                </c:pt>
                <c:pt idx="8">
                  <c:v>24</c:v>
                </c:pt>
                <c:pt idx="9">
                  <c:v>40</c:v>
                </c:pt>
                <c:pt idx="10">
                  <c:v>40</c:v>
                </c:pt>
                <c:pt idx="11">
                  <c:v>60</c:v>
                </c:pt>
                <c:pt idx="12">
                  <c:v>108</c:v>
                </c:pt>
                <c:pt idx="13">
                  <c:v>100</c:v>
                </c:pt>
                <c:pt idx="14">
                  <c:v>72</c:v>
                </c:pt>
                <c:pt idx="15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D1-4517-A447-4697213326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4748208"/>
        <c:axId val="626891792"/>
      </c:barChart>
      <c:catAx>
        <c:axId val="3347482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26891792"/>
        <c:crosses val="autoZero"/>
        <c:auto val="1"/>
        <c:lblAlgn val="ctr"/>
        <c:lblOffset val="100"/>
        <c:noMultiLvlLbl val="0"/>
      </c:catAx>
      <c:valAx>
        <c:axId val="62689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4748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31070597902949E-2"/>
          <c:y val="3.7798532817612258E-2"/>
          <c:w val="0.91697500851850899"/>
          <c:h val="0.554957538041312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HLAVNÍ_VÝSLEDKY!$G$213:$V$213</c:f>
              <c:numCache>
                <c:formatCode>General</c:formatCode>
                <c:ptCount val="16"/>
                <c:pt idx="0">
                  <c:v>28</c:v>
                </c:pt>
                <c:pt idx="1">
                  <c:v>20</c:v>
                </c:pt>
                <c:pt idx="2">
                  <c:v>216</c:v>
                </c:pt>
                <c:pt idx="3">
                  <c:v>156</c:v>
                </c:pt>
                <c:pt idx="4">
                  <c:v>208</c:v>
                </c:pt>
                <c:pt idx="5">
                  <c:v>40</c:v>
                </c:pt>
                <c:pt idx="6">
                  <c:v>312</c:v>
                </c:pt>
                <c:pt idx="7">
                  <c:v>412</c:v>
                </c:pt>
                <c:pt idx="8">
                  <c:v>240</c:v>
                </c:pt>
                <c:pt idx="9">
                  <c:v>324</c:v>
                </c:pt>
                <c:pt idx="10">
                  <c:v>256</c:v>
                </c:pt>
                <c:pt idx="11">
                  <c:v>88</c:v>
                </c:pt>
                <c:pt idx="12">
                  <c:v>172</c:v>
                </c:pt>
                <c:pt idx="13">
                  <c:v>148</c:v>
                </c:pt>
                <c:pt idx="14">
                  <c:v>160</c:v>
                </c:pt>
                <c:pt idx="15">
                  <c:v>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34-4C06-9D5B-EC5B05AE72A9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HLAVNÍ_VÝSLEDKY!$G$214:$V$214</c:f>
              <c:numCache>
                <c:formatCode>General</c:formatCode>
                <c:ptCount val="16"/>
                <c:pt idx="0">
                  <c:v>28</c:v>
                </c:pt>
                <c:pt idx="1">
                  <c:v>96</c:v>
                </c:pt>
                <c:pt idx="2">
                  <c:v>216</c:v>
                </c:pt>
                <c:pt idx="3">
                  <c:v>60</c:v>
                </c:pt>
                <c:pt idx="4">
                  <c:v>184</c:v>
                </c:pt>
                <c:pt idx="5">
                  <c:v>124</c:v>
                </c:pt>
                <c:pt idx="6">
                  <c:v>60</c:v>
                </c:pt>
                <c:pt idx="7">
                  <c:v>288</c:v>
                </c:pt>
                <c:pt idx="8">
                  <c:v>112</c:v>
                </c:pt>
                <c:pt idx="9">
                  <c:v>336</c:v>
                </c:pt>
                <c:pt idx="10">
                  <c:v>196</c:v>
                </c:pt>
                <c:pt idx="11">
                  <c:v>124</c:v>
                </c:pt>
                <c:pt idx="12">
                  <c:v>240</c:v>
                </c:pt>
                <c:pt idx="13">
                  <c:v>144</c:v>
                </c:pt>
                <c:pt idx="14">
                  <c:v>88</c:v>
                </c:pt>
                <c:pt idx="15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34-4C06-9D5B-EC5B05AE72A9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HLAVNÍ_VÝSLEDKY!$G$215:$V$215</c:f>
              <c:numCache>
                <c:formatCode>General</c:formatCode>
                <c:ptCount val="16"/>
                <c:pt idx="0">
                  <c:v>88</c:v>
                </c:pt>
                <c:pt idx="1">
                  <c:v>76</c:v>
                </c:pt>
                <c:pt idx="2">
                  <c:v>100</c:v>
                </c:pt>
                <c:pt idx="3">
                  <c:v>124</c:v>
                </c:pt>
                <c:pt idx="4">
                  <c:v>180</c:v>
                </c:pt>
                <c:pt idx="5">
                  <c:v>288</c:v>
                </c:pt>
                <c:pt idx="6">
                  <c:v>288</c:v>
                </c:pt>
                <c:pt idx="7">
                  <c:v>384</c:v>
                </c:pt>
                <c:pt idx="8">
                  <c:v>564</c:v>
                </c:pt>
                <c:pt idx="9">
                  <c:v>408</c:v>
                </c:pt>
                <c:pt idx="10">
                  <c:v>372</c:v>
                </c:pt>
                <c:pt idx="11">
                  <c:v>328</c:v>
                </c:pt>
                <c:pt idx="12">
                  <c:v>456</c:v>
                </c:pt>
                <c:pt idx="13">
                  <c:v>328</c:v>
                </c:pt>
                <c:pt idx="14">
                  <c:v>940</c:v>
                </c:pt>
                <c:pt idx="15">
                  <c:v>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34-4C06-9D5B-EC5B05AE72A9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HLAVNÍ_VÝSLEDKY!$G$216:$V$216</c:f>
              <c:numCache>
                <c:formatCode>General</c:formatCode>
                <c:ptCount val="16"/>
                <c:pt idx="0">
                  <c:v>172</c:v>
                </c:pt>
                <c:pt idx="1">
                  <c:v>172</c:v>
                </c:pt>
                <c:pt idx="2">
                  <c:v>588</c:v>
                </c:pt>
                <c:pt idx="3">
                  <c:v>660</c:v>
                </c:pt>
                <c:pt idx="4">
                  <c:v>540</c:v>
                </c:pt>
                <c:pt idx="5">
                  <c:v>472</c:v>
                </c:pt>
                <c:pt idx="6">
                  <c:v>540</c:v>
                </c:pt>
                <c:pt idx="7">
                  <c:v>144</c:v>
                </c:pt>
                <c:pt idx="8">
                  <c:v>460</c:v>
                </c:pt>
                <c:pt idx="9">
                  <c:v>568</c:v>
                </c:pt>
                <c:pt idx="10">
                  <c:v>436</c:v>
                </c:pt>
                <c:pt idx="11">
                  <c:v>556</c:v>
                </c:pt>
                <c:pt idx="12">
                  <c:v>556</c:v>
                </c:pt>
                <c:pt idx="13">
                  <c:v>532</c:v>
                </c:pt>
                <c:pt idx="14">
                  <c:v>612</c:v>
                </c:pt>
                <c:pt idx="15">
                  <c:v>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334-4C06-9D5B-EC5B05AE72A9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HLAVNÍ_VÝSLEDKY!$G$217:$V$217</c:f>
              <c:numCache>
                <c:formatCode>General</c:formatCode>
                <c:ptCount val="16"/>
                <c:pt idx="0">
                  <c:v>12</c:v>
                </c:pt>
                <c:pt idx="1">
                  <c:v>20</c:v>
                </c:pt>
                <c:pt idx="2">
                  <c:v>12</c:v>
                </c:pt>
                <c:pt idx="3">
                  <c:v>12</c:v>
                </c:pt>
                <c:pt idx="4">
                  <c:v>20</c:v>
                </c:pt>
                <c:pt idx="5">
                  <c:v>252</c:v>
                </c:pt>
                <c:pt idx="6">
                  <c:v>108</c:v>
                </c:pt>
                <c:pt idx="7">
                  <c:v>12</c:v>
                </c:pt>
                <c:pt idx="8">
                  <c:v>8</c:v>
                </c:pt>
                <c:pt idx="9">
                  <c:v>12</c:v>
                </c:pt>
                <c:pt idx="10">
                  <c:v>36</c:v>
                </c:pt>
                <c:pt idx="11">
                  <c:v>28</c:v>
                </c:pt>
                <c:pt idx="12">
                  <c:v>0</c:v>
                </c:pt>
                <c:pt idx="13">
                  <c:v>0</c:v>
                </c:pt>
                <c:pt idx="14">
                  <c:v>24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334-4C06-9D5B-EC5B05AE72A9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HLAVNÍ_VÝSLEDKY!$G$218:$V$218</c:f>
              <c:numCache>
                <c:formatCode>General</c:formatCode>
                <c:ptCount val="16"/>
                <c:pt idx="0">
                  <c:v>0</c:v>
                </c:pt>
                <c:pt idx="1">
                  <c:v>8</c:v>
                </c:pt>
                <c:pt idx="2">
                  <c:v>0</c:v>
                </c:pt>
                <c:pt idx="3">
                  <c:v>24</c:v>
                </c:pt>
                <c:pt idx="4">
                  <c:v>12</c:v>
                </c:pt>
                <c:pt idx="5">
                  <c:v>52</c:v>
                </c:pt>
                <c:pt idx="6">
                  <c:v>20</c:v>
                </c:pt>
                <c:pt idx="7">
                  <c:v>24</c:v>
                </c:pt>
                <c:pt idx="8">
                  <c:v>12</c:v>
                </c:pt>
                <c:pt idx="9">
                  <c:v>16</c:v>
                </c:pt>
                <c:pt idx="10">
                  <c:v>24</c:v>
                </c:pt>
                <c:pt idx="11">
                  <c:v>36</c:v>
                </c:pt>
                <c:pt idx="12">
                  <c:v>12</c:v>
                </c:pt>
                <c:pt idx="13">
                  <c:v>24</c:v>
                </c:pt>
                <c:pt idx="14">
                  <c:v>24</c:v>
                </c:pt>
                <c:pt idx="15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334-4C06-9D5B-EC5B05AE72A9}"/>
            </c:ext>
          </c:extLst>
        </c:ser>
        <c:ser>
          <c:idx val="6"/>
          <c:order val="6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HLAVNÍ_VÝSLEDKY!$G$219:$V$219</c:f>
              <c:numCache>
                <c:formatCode>General</c:formatCode>
                <c:ptCount val="16"/>
                <c:pt idx="0">
                  <c:v>0</c:v>
                </c:pt>
                <c:pt idx="1">
                  <c:v>8</c:v>
                </c:pt>
                <c:pt idx="2">
                  <c:v>24</c:v>
                </c:pt>
                <c:pt idx="3">
                  <c:v>12</c:v>
                </c:pt>
                <c:pt idx="4">
                  <c:v>20</c:v>
                </c:pt>
                <c:pt idx="5">
                  <c:v>12</c:v>
                </c:pt>
                <c:pt idx="6">
                  <c:v>124</c:v>
                </c:pt>
                <c:pt idx="7">
                  <c:v>24</c:v>
                </c:pt>
                <c:pt idx="8">
                  <c:v>0</c:v>
                </c:pt>
                <c:pt idx="9">
                  <c:v>0</c:v>
                </c:pt>
                <c:pt idx="10">
                  <c:v>60</c:v>
                </c:pt>
                <c:pt idx="11">
                  <c:v>0</c:v>
                </c:pt>
                <c:pt idx="12">
                  <c:v>0</c:v>
                </c:pt>
                <c:pt idx="13">
                  <c:v>20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334-4C06-9D5B-EC5B05AE72A9}"/>
            </c:ext>
          </c:extLst>
        </c:ser>
        <c:ser>
          <c:idx val="7"/>
          <c:order val="7"/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HLAVNÍ_VÝSLEDKY!$G$220:$V$220</c:f>
              <c:numCache>
                <c:formatCode>General</c:formatCode>
                <c:ptCount val="16"/>
                <c:pt idx="0">
                  <c:v>0</c:v>
                </c:pt>
                <c:pt idx="1">
                  <c:v>4</c:v>
                </c:pt>
                <c:pt idx="2">
                  <c:v>20</c:v>
                </c:pt>
                <c:pt idx="3">
                  <c:v>16</c:v>
                </c:pt>
                <c:pt idx="4">
                  <c:v>12</c:v>
                </c:pt>
                <c:pt idx="5">
                  <c:v>8</c:v>
                </c:pt>
                <c:pt idx="6">
                  <c:v>24</c:v>
                </c:pt>
                <c:pt idx="7">
                  <c:v>0</c:v>
                </c:pt>
                <c:pt idx="8">
                  <c:v>0</c:v>
                </c:pt>
                <c:pt idx="9">
                  <c:v>8</c:v>
                </c:pt>
                <c:pt idx="10">
                  <c:v>20</c:v>
                </c:pt>
                <c:pt idx="11">
                  <c:v>8</c:v>
                </c:pt>
                <c:pt idx="12">
                  <c:v>0</c:v>
                </c:pt>
                <c:pt idx="13">
                  <c:v>12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334-4C06-9D5B-EC5B05AE72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37428432"/>
        <c:axId val="637428752"/>
      </c:barChart>
      <c:catAx>
        <c:axId val="637428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7428752"/>
        <c:crosses val="autoZero"/>
        <c:auto val="1"/>
        <c:lblAlgn val="ctr"/>
        <c:lblOffset val="100"/>
        <c:noMultiLvlLbl val="0"/>
      </c:catAx>
      <c:valAx>
        <c:axId val="637428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7428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723693079827252E-2"/>
          <c:y val="6.2463957074442744E-2"/>
          <c:w val="0.92556202141771116"/>
          <c:h val="0.578952364236821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HLAVNÍ_VÝSLEDKY!$G$227:$V$227</c:f>
              <c:numCache>
                <c:formatCode>General</c:formatCode>
                <c:ptCount val="16"/>
                <c:pt idx="0">
                  <c:v>0</c:v>
                </c:pt>
                <c:pt idx="1">
                  <c:v>24</c:v>
                </c:pt>
                <c:pt idx="2">
                  <c:v>60</c:v>
                </c:pt>
                <c:pt idx="3">
                  <c:v>40</c:v>
                </c:pt>
                <c:pt idx="4">
                  <c:v>72</c:v>
                </c:pt>
                <c:pt idx="5">
                  <c:v>108</c:v>
                </c:pt>
                <c:pt idx="6">
                  <c:v>100</c:v>
                </c:pt>
                <c:pt idx="7">
                  <c:v>60</c:v>
                </c:pt>
                <c:pt idx="8">
                  <c:v>196</c:v>
                </c:pt>
                <c:pt idx="9">
                  <c:v>136</c:v>
                </c:pt>
                <c:pt idx="10">
                  <c:v>132</c:v>
                </c:pt>
                <c:pt idx="11">
                  <c:v>88</c:v>
                </c:pt>
                <c:pt idx="12">
                  <c:v>84</c:v>
                </c:pt>
                <c:pt idx="13">
                  <c:v>88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A1-4591-8C12-CFADCCCBDCD7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HLAVNÍ_VÝSLEDKY!$G$228:$V$228</c:f>
              <c:numCache>
                <c:formatCode>General</c:formatCode>
                <c:ptCount val="16"/>
                <c:pt idx="0">
                  <c:v>0</c:v>
                </c:pt>
                <c:pt idx="1">
                  <c:v>8</c:v>
                </c:pt>
                <c:pt idx="2">
                  <c:v>20</c:v>
                </c:pt>
                <c:pt idx="3">
                  <c:v>72</c:v>
                </c:pt>
                <c:pt idx="4">
                  <c:v>84</c:v>
                </c:pt>
                <c:pt idx="5">
                  <c:v>64</c:v>
                </c:pt>
                <c:pt idx="6">
                  <c:v>136</c:v>
                </c:pt>
                <c:pt idx="7">
                  <c:v>132</c:v>
                </c:pt>
                <c:pt idx="8">
                  <c:v>100</c:v>
                </c:pt>
                <c:pt idx="9">
                  <c:v>112</c:v>
                </c:pt>
                <c:pt idx="10">
                  <c:v>168</c:v>
                </c:pt>
                <c:pt idx="11">
                  <c:v>100</c:v>
                </c:pt>
                <c:pt idx="12">
                  <c:v>112</c:v>
                </c:pt>
                <c:pt idx="13">
                  <c:v>28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A1-4591-8C12-CFADCCCBDCD7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HLAVNÍ_VÝSLEDKY!$G$229:$V$229</c:f>
              <c:numCache>
                <c:formatCode>General</c:formatCode>
                <c:ptCount val="16"/>
                <c:pt idx="0">
                  <c:v>20</c:v>
                </c:pt>
                <c:pt idx="1">
                  <c:v>0</c:v>
                </c:pt>
                <c:pt idx="2">
                  <c:v>108</c:v>
                </c:pt>
                <c:pt idx="3">
                  <c:v>12</c:v>
                </c:pt>
                <c:pt idx="4">
                  <c:v>76</c:v>
                </c:pt>
                <c:pt idx="5">
                  <c:v>24</c:v>
                </c:pt>
                <c:pt idx="6">
                  <c:v>40</c:v>
                </c:pt>
                <c:pt idx="7">
                  <c:v>12</c:v>
                </c:pt>
                <c:pt idx="8">
                  <c:v>28</c:v>
                </c:pt>
                <c:pt idx="9">
                  <c:v>20</c:v>
                </c:pt>
                <c:pt idx="10">
                  <c:v>0</c:v>
                </c:pt>
                <c:pt idx="11">
                  <c:v>20</c:v>
                </c:pt>
                <c:pt idx="12">
                  <c:v>4</c:v>
                </c:pt>
                <c:pt idx="13">
                  <c:v>8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A1-4591-8C12-CFADCCCBDCD7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HLAVNÍ_VÝSLEDKY!$G$230:$V$230</c:f>
              <c:numCache>
                <c:formatCode>General</c:formatCode>
                <c:ptCount val="16"/>
                <c:pt idx="0">
                  <c:v>8</c:v>
                </c:pt>
                <c:pt idx="1">
                  <c:v>36</c:v>
                </c:pt>
                <c:pt idx="2">
                  <c:v>12</c:v>
                </c:pt>
                <c:pt idx="3">
                  <c:v>0</c:v>
                </c:pt>
                <c:pt idx="4">
                  <c:v>0</c:v>
                </c:pt>
                <c:pt idx="5">
                  <c:v>12</c:v>
                </c:pt>
                <c:pt idx="6">
                  <c:v>4</c:v>
                </c:pt>
                <c:pt idx="7">
                  <c:v>40</c:v>
                </c:pt>
                <c:pt idx="8">
                  <c:v>4</c:v>
                </c:pt>
                <c:pt idx="9">
                  <c:v>8</c:v>
                </c:pt>
                <c:pt idx="10">
                  <c:v>28</c:v>
                </c:pt>
                <c:pt idx="11">
                  <c:v>16</c:v>
                </c:pt>
                <c:pt idx="12">
                  <c:v>20</c:v>
                </c:pt>
                <c:pt idx="13">
                  <c:v>24</c:v>
                </c:pt>
                <c:pt idx="14">
                  <c:v>88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4A1-4591-8C12-CFADCCCBDCD7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HLAVNÍ_VÝSLEDKY!$G$231:$V$231</c:f>
              <c:numCache>
                <c:formatCode>General</c:formatCode>
                <c:ptCount val="16"/>
                <c:pt idx="0">
                  <c:v>8</c:v>
                </c:pt>
                <c:pt idx="1">
                  <c:v>44</c:v>
                </c:pt>
                <c:pt idx="2">
                  <c:v>32</c:v>
                </c:pt>
                <c:pt idx="3">
                  <c:v>72</c:v>
                </c:pt>
                <c:pt idx="4">
                  <c:v>84</c:v>
                </c:pt>
                <c:pt idx="5">
                  <c:v>76</c:v>
                </c:pt>
                <c:pt idx="6">
                  <c:v>140</c:v>
                </c:pt>
                <c:pt idx="7">
                  <c:v>172</c:v>
                </c:pt>
                <c:pt idx="8">
                  <c:v>104</c:v>
                </c:pt>
                <c:pt idx="9">
                  <c:v>120</c:v>
                </c:pt>
                <c:pt idx="10">
                  <c:v>196</c:v>
                </c:pt>
                <c:pt idx="11">
                  <c:v>116</c:v>
                </c:pt>
                <c:pt idx="12">
                  <c:v>132</c:v>
                </c:pt>
                <c:pt idx="13">
                  <c:v>52</c:v>
                </c:pt>
                <c:pt idx="14">
                  <c:v>88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4A1-4591-8C12-CFADCCCBDCD7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HLAVNÍ_VÝSLEDKY!$G$232:$V$232</c:f>
              <c:numCache>
                <c:formatCode>General</c:formatCode>
                <c:ptCount val="16"/>
                <c:pt idx="0">
                  <c:v>20</c:v>
                </c:pt>
                <c:pt idx="1">
                  <c:v>24</c:v>
                </c:pt>
                <c:pt idx="2">
                  <c:v>168</c:v>
                </c:pt>
                <c:pt idx="3">
                  <c:v>52</c:v>
                </c:pt>
                <c:pt idx="4">
                  <c:v>148</c:v>
                </c:pt>
                <c:pt idx="5">
                  <c:v>132</c:v>
                </c:pt>
                <c:pt idx="6">
                  <c:v>140</c:v>
                </c:pt>
                <c:pt idx="7">
                  <c:v>72</c:v>
                </c:pt>
                <c:pt idx="8">
                  <c:v>224</c:v>
                </c:pt>
                <c:pt idx="9">
                  <c:v>156</c:v>
                </c:pt>
                <c:pt idx="10">
                  <c:v>132</c:v>
                </c:pt>
                <c:pt idx="11">
                  <c:v>108</c:v>
                </c:pt>
                <c:pt idx="12">
                  <c:v>88</c:v>
                </c:pt>
                <c:pt idx="13">
                  <c:v>96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4A1-4591-8C12-CFADCCCBDC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1098168"/>
        <c:axId val="637439312"/>
      </c:barChart>
      <c:catAx>
        <c:axId val="471098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7439312"/>
        <c:crosses val="autoZero"/>
        <c:auto val="1"/>
        <c:lblAlgn val="ctr"/>
        <c:lblOffset val="100"/>
        <c:noMultiLvlLbl val="0"/>
      </c:catAx>
      <c:valAx>
        <c:axId val="637439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1098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31070597902949E-2"/>
          <c:y val="4.1642638049628498E-2"/>
          <c:w val="0.91697500851850899"/>
          <c:h val="0.657488033450222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HLAVNÍ_VÝSLEDKY!$G$36:$V$36</c:f>
              <c:numCache>
                <c:formatCode>General</c:formatCode>
                <c:ptCount val="16"/>
                <c:pt idx="0">
                  <c:v>20</c:v>
                </c:pt>
                <c:pt idx="1">
                  <c:v>8</c:v>
                </c:pt>
                <c:pt idx="2">
                  <c:v>12</c:v>
                </c:pt>
                <c:pt idx="3">
                  <c:v>48</c:v>
                </c:pt>
                <c:pt idx="4">
                  <c:v>0</c:v>
                </c:pt>
                <c:pt idx="5">
                  <c:v>40</c:v>
                </c:pt>
                <c:pt idx="6">
                  <c:v>28</c:v>
                </c:pt>
                <c:pt idx="7">
                  <c:v>24</c:v>
                </c:pt>
                <c:pt idx="8">
                  <c:v>144</c:v>
                </c:pt>
                <c:pt idx="9">
                  <c:v>12</c:v>
                </c:pt>
                <c:pt idx="10">
                  <c:v>40</c:v>
                </c:pt>
                <c:pt idx="11">
                  <c:v>8</c:v>
                </c:pt>
                <c:pt idx="12">
                  <c:v>0</c:v>
                </c:pt>
                <c:pt idx="13">
                  <c:v>8</c:v>
                </c:pt>
                <c:pt idx="14">
                  <c:v>36</c:v>
                </c:pt>
                <c:pt idx="15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A8-44A6-ACA3-BEB3ACFAA21B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HLAVNÍ_VÝSLEDKY!$G$37:$V$37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52</c:v>
                </c:pt>
                <c:pt idx="4">
                  <c:v>28</c:v>
                </c:pt>
                <c:pt idx="5">
                  <c:v>12</c:v>
                </c:pt>
                <c:pt idx="6">
                  <c:v>24</c:v>
                </c:pt>
                <c:pt idx="7">
                  <c:v>60</c:v>
                </c:pt>
                <c:pt idx="8">
                  <c:v>0</c:v>
                </c:pt>
                <c:pt idx="9">
                  <c:v>36</c:v>
                </c:pt>
                <c:pt idx="10">
                  <c:v>36</c:v>
                </c:pt>
                <c:pt idx="11">
                  <c:v>88</c:v>
                </c:pt>
                <c:pt idx="12">
                  <c:v>36</c:v>
                </c:pt>
                <c:pt idx="13">
                  <c:v>0</c:v>
                </c:pt>
                <c:pt idx="14">
                  <c:v>12</c:v>
                </c:pt>
                <c:pt idx="15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A8-44A6-ACA3-BEB3ACFAA21B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HLAVNÍ_VÝSLEDKY!$G$38:$V$38</c:f>
              <c:numCache>
                <c:formatCode>General</c:formatCode>
                <c:ptCount val="16"/>
                <c:pt idx="0">
                  <c:v>20</c:v>
                </c:pt>
                <c:pt idx="1">
                  <c:v>12</c:v>
                </c:pt>
                <c:pt idx="2">
                  <c:v>0</c:v>
                </c:pt>
                <c:pt idx="3">
                  <c:v>0</c:v>
                </c:pt>
                <c:pt idx="4">
                  <c:v>12</c:v>
                </c:pt>
                <c:pt idx="5">
                  <c:v>0</c:v>
                </c:pt>
                <c:pt idx="6">
                  <c:v>40</c:v>
                </c:pt>
                <c:pt idx="7">
                  <c:v>20</c:v>
                </c:pt>
                <c:pt idx="8">
                  <c:v>40</c:v>
                </c:pt>
                <c:pt idx="9">
                  <c:v>36</c:v>
                </c:pt>
                <c:pt idx="10">
                  <c:v>0</c:v>
                </c:pt>
                <c:pt idx="11">
                  <c:v>96</c:v>
                </c:pt>
                <c:pt idx="12">
                  <c:v>52</c:v>
                </c:pt>
                <c:pt idx="13">
                  <c:v>72</c:v>
                </c:pt>
                <c:pt idx="14">
                  <c:v>0</c:v>
                </c:pt>
                <c:pt idx="15">
                  <c:v>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A8-44A6-ACA3-BEB3ACFAA21B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HLAVNÍ_VÝSLEDKY!$G$39:$V$39</c:f>
              <c:numCache>
                <c:formatCode>General</c:formatCode>
                <c:ptCount val="16"/>
                <c:pt idx="0">
                  <c:v>20</c:v>
                </c:pt>
                <c:pt idx="1">
                  <c:v>0</c:v>
                </c:pt>
                <c:pt idx="2">
                  <c:v>24</c:v>
                </c:pt>
                <c:pt idx="3">
                  <c:v>12</c:v>
                </c:pt>
                <c:pt idx="4">
                  <c:v>12</c:v>
                </c:pt>
                <c:pt idx="5">
                  <c:v>24</c:v>
                </c:pt>
                <c:pt idx="6">
                  <c:v>0</c:v>
                </c:pt>
                <c:pt idx="7">
                  <c:v>12</c:v>
                </c:pt>
                <c:pt idx="8">
                  <c:v>60</c:v>
                </c:pt>
                <c:pt idx="9">
                  <c:v>12</c:v>
                </c:pt>
                <c:pt idx="10">
                  <c:v>8</c:v>
                </c:pt>
                <c:pt idx="11">
                  <c:v>8</c:v>
                </c:pt>
                <c:pt idx="12">
                  <c:v>72</c:v>
                </c:pt>
                <c:pt idx="13">
                  <c:v>64</c:v>
                </c:pt>
                <c:pt idx="14">
                  <c:v>76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2A8-44A6-ACA3-BEB3ACFAA21B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HLAVNÍ_VÝSLEDKY!$G$40:$V$40</c:f>
              <c:numCache>
                <c:formatCode>General</c:formatCode>
                <c:ptCount val="16"/>
                <c:pt idx="0">
                  <c:v>100</c:v>
                </c:pt>
                <c:pt idx="1">
                  <c:v>208</c:v>
                </c:pt>
                <c:pt idx="2">
                  <c:v>292</c:v>
                </c:pt>
                <c:pt idx="3">
                  <c:v>432</c:v>
                </c:pt>
                <c:pt idx="4">
                  <c:v>456</c:v>
                </c:pt>
                <c:pt idx="5">
                  <c:v>444</c:v>
                </c:pt>
                <c:pt idx="6">
                  <c:v>852</c:v>
                </c:pt>
                <c:pt idx="7">
                  <c:v>960</c:v>
                </c:pt>
                <c:pt idx="8">
                  <c:v>900</c:v>
                </c:pt>
                <c:pt idx="9">
                  <c:v>436</c:v>
                </c:pt>
                <c:pt idx="10">
                  <c:v>516</c:v>
                </c:pt>
                <c:pt idx="11">
                  <c:v>448</c:v>
                </c:pt>
                <c:pt idx="12">
                  <c:v>384</c:v>
                </c:pt>
                <c:pt idx="13">
                  <c:v>652</c:v>
                </c:pt>
                <c:pt idx="14">
                  <c:v>192</c:v>
                </c:pt>
                <c:pt idx="15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2A8-44A6-ACA3-BEB3ACFAA21B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HLAVNÍ_VÝSLEDKY!$G$41:$V$41</c:f>
              <c:numCache>
                <c:formatCode>General</c:formatCode>
                <c:ptCount val="16"/>
                <c:pt idx="0">
                  <c:v>196</c:v>
                </c:pt>
                <c:pt idx="1">
                  <c:v>132</c:v>
                </c:pt>
                <c:pt idx="2">
                  <c:v>312</c:v>
                </c:pt>
                <c:pt idx="3">
                  <c:v>304</c:v>
                </c:pt>
                <c:pt idx="4">
                  <c:v>304</c:v>
                </c:pt>
                <c:pt idx="5">
                  <c:v>336</c:v>
                </c:pt>
                <c:pt idx="6">
                  <c:v>544</c:v>
                </c:pt>
                <c:pt idx="7">
                  <c:v>976</c:v>
                </c:pt>
                <c:pt idx="8">
                  <c:v>576</c:v>
                </c:pt>
                <c:pt idx="9">
                  <c:v>720</c:v>
                </c:pt>
                <c:pt idx="10">
                  <c:v>352</c:v>
                </c:pt>
                <c:pt idx="11">
                  <c:v>360</c:v>
                </c:pt>
                <c:pt idx="12">
                  <c:v>400</c:v>
                </c:pt>
                <c:pt idx="13">
                  <c:v>168</c:v>
                </c:pt>
                <c:pt idx="14">
                  <c:v>312</c:v>
                </c:pt>
                <c:pt idx="15">
                  <c:v>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2A8-44A6-ACA3-BEB3ACFAA21B}"/>
            </c:ext>
          </c:extLst>
        </c:ser>
        <c:ser>
          <c:idx val="6"/>
          <c:order val="6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HLAVNÍ_VÝSLEDKY!$G$42:$V$42</c:f>
              <c:numCache>
                <c:formatCode>General</c:formatCode>
                <c:ptCount val="16"/>
                <c:pt idx="0">
                  <c:v>20</c:v>
                </c:pt>
                <c:pt idx="1">
                  <c:v>0</c:v>
                </c:pt>
                <c:pt idx="2">
                  <c:v>24</c:v>
                </c:pt>
                <c:pt idx="3">
                  <c:v>64</c:v>
                </c:pt>
                <c:pt idx="4">
                  <c:v>40</c:v>
                </c:pt>
                <c:pt idx="5">
                  <c:v>36</c:v>
                </c:pt>
                <c:pt idx="6">
                  <c:v>24</c:v>
                </c:pt>
                <c:pt idx="7">
                  <c:v>72</c:v>
                </c:pt>
                <c:pt idx="8">
                  <c:v>60</c:v>
                </c:pt>
                <c:pt idx="9">
                  <c:v>48</c:v>
                </c:pt>
                <c:pt idx="10">
                  <c:v>44</c:v>
                </c:pt>
                <c:pt idx="11">
                  <c:v>96</c:v>
                </c:pt>
                <c:pt idx="12">
                  <c:v>108</c:v>
                </c:pt>
                <c:pt idx="13">
                  <c:v>64</c:v>
                </c:pt>
                <c:pt idx="14">
                  <c:v>88</c:v>
                </c:pt>
                <c:pt idx="15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2A8-44A6-ACA3-BEB3ACFAA21B}"/>
            </c:ext>
          </c:extLst>
        </c:ser>
        <c:ser>
          <c:idx val="7"/>
          <c:order val="7"/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HLAVNÍ_VÝSLEDKY!$G$43:$V$43</c:f>
              <c:numCache>
                <c:formatCode>General</c:formatCode>
                <c:ptCount val="16"/>
                <c:pt idx="0">
                  <c:v>216</c:v>
                </c:pt>
                <c:pt idx="1">
                  <c:v>144</c:v>
                </c:pt>
                <c:pt idx="2">
                  <c:v>312</c:v>
                </c:pt>
                <c:pt idx="3">
                  <c:v>304</c:v>
                </c:pt>
                <c:pt idx="4">
                  <c:v>316</c:v>
                </c:pt>
                <c:pt idx="5">
                  <c:v>336</c:v>
                </c:pt>
                <c:pt idx="6">
                  <c:v>584</c:v>
                </c:pt>
                <c:pt idx="7">
                  <c:v>996</c:v>
                </c:pt>
                <c:pt idx="8">
                  <c:v>616</c:v>
                </c:pt>
                <c:pt idx="9">
                  <c:v>756</c:v>
                </c:pt>
                <c:pt idx="10">
                  <c:v>352</c:v>
                </c:pt>
                <c:pt idx="11">
                  <c:v>456</c:v>
                </c:pt>
                <c:pt idx="12">
                  <c:v>452</c:v>
                </c:pt>
                <c:pt idx="13">
                  <c:v>240</c:v>
                </c:pt>
                <c:pt idx="14">
                  <c:v>312</c:v>
                </c:pt>
                <c:pt idx="15">
                  <c:v>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2A8-44A6-ACA3-BEB3ACFAA21B}"/>
            </c:ext>
          </c:extLst>
        </c:ser>
        <c:ser>
          <c:idx val="8"/>
          <c:order val="8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HLAVNÍ_VÝSLEDKY!$G$44:$V$44</c:f>
              <c:numCache>
                <c:formatCode>General</c:formatCode>
                <c:ptCount val="16"/>
                <c:pt idx="0">
                  <c:v>120</c:v>
                </c:pt>
                <c:pt idx="1">
                  <c:v>216</c:v>
                </c:pt>
                <c:pt idx="2">
                  <c:v>304</c:v>
                </c:pt>
                <c:pt idx="3">
                  <c:v>480</c:v>
                </c:pt>
                <c:pt idx="4">
                  <c:v>456</c:v>
                </c:pt>
                <c:pt idx="5">
                  <c:v>484</c:v>
                </c:pt>
                <c:pt idx="6">
                  <c:v>880</c:v>
                </c:pt>
                <c:pt idx="7">
                  <c:v>984</c:v>
                </c:pt>
                <c:pt idx="8">
                  <c:v>1044</c:v>
                </c:pt>
                <c:pt idx="9">
                  <c:v>448</c:v>
                </c:pt>
                <c:pt idx="10">
                  <c:v>556</c:v>
                </c:pt>
                <c:pt idx="11">
                  <c:v>456</c:v>
                </c:pt>
                <c:pt idx="12">
                  <c:v>384</c:v>
                </c:pt>
                <c:pt idx="13">
                  <c:v>660</c:v>
                </c:pt>
                <c:pt idx="14">
                  <c:v>228</c:v>
                </c:pt>
                <c:pt idx="15">
                  <c:v>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2A8-44A6-ACA3-BEB3ACFAA2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8637792"/>
        <c:axId val="618638120"/>
      </c:barChart>
      <c:catAx>
        <c:axId val="618637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8638120"/>
        <c:crosses val="autoZero"/>
        <c:auto val="1"/>
        <c:lblAlgn val="ctr"/>
        <c:lblOffset val="100"/>
        <c:noMultiLvlLbl val="0"/>
      </c:catAx>
      <c:valAx>
        <c:axId val="618638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8637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723693079827252E-2"/>
          <c:y val="3.1231978537221372E-2"/>
          <c:w val="0.92556202141771116"/>
          <c:h val="0.7431160250876671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HLAVNÍ_VÝSLEDKY!$G$45:$V$45</c:f>
              <c:numCache>
                <c:formatCode>General</c:formatCode>
                <c:ptCount val="16"/>
                <c:pt idx="0">
                  <c:v>24</c:v>
                </c:pt>
                <c:pt idx="1">
                  <c:v>20</c:v>
                </c:pt>
                <c:pt idx="2">
                  <c:v>64</c:v>
                </c:pt>
                <c:pt idx="3">
                  <c:v>120</c:v>
                </c:pt>
                <c:pt idx="4">
                  <c:v>156</c:v>
                </c:pt>
                <c:pt idx="5">
                  <c:v>160</c:v>
                </c:pt>
                <c:pt idx="6">
                  <c:v>64</c:v>
                </c:pt>
                <c:pt idx="7">
                  <c:v>100</c:v>
                </c:pt>
                <c:pt idx="8">
                  <c:v>84</c:v>
                </c:pt>
                <c:pt idx="9">
                  <c:v>120</c:v>
                </c:pt>
                <c:pt idx="10">
                  <c:v>88</c:v>
                </c:pt>
                <c:pt idx="11">
                  <c:v>28</c:v>
                </c:pt>
                <c:pt idx="12">
                  <c:v>48</c:v>
                </c:pt>
                <c:pt idx="13">
                  <c:v>36</c:v>
                </c:pt>
                <c:pt idx="14">
                  <c:v>32</c:v>
                </c:pt>
                <c:pt idx="15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B2-4FC8-8557-F393B55AFDE2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HLAVNÍ_VÝSLEDKY!$G$46:$V$46</c:f>
              <c:numCache>
                <c:formatCode>General</c:formatCode>
                <c:ptCount val="16"/>
                <c:pt idx="0">
                  <c:v>16</c:v>
                </c:pt>
                <c:pt idx="1">
                  <c:v>24</c:v>
                </c:pt>
                <c:pt idx="2">
                  <c:v>52</c:v>
                </c:pt>
                <c:pt idx="3">
                  <c:v>100</c:v>
                </c:pt>
                <c:pt idx="4">
                  <c:v>120</c:v>
                </c:pt>
                <c:pt idx="5">
                  <c:v>84</c:v>
                </c:pt>
                <c:pt idx="6">
                  <c:v>76</c:v>
                </c:pt>
                <c:pt idx="7">
                  <c:v>96</c:v>
                </c:pt>
                <c:pt idx="8">
                  <c:v>88</c:v>
                </c:pt>
                <c:pt idx="9">
                  <c:v>100</c:v>
                </c:pt>
                <c:pt idx="10">
                  <c:v>76</c:v>
                </c:pt>
                <c:pt idx="11">
                  <c:v>32</c:v>
                </c:pt>
                <c:pt idx="12">
                  <c:v>32</c:v>
                </c:pt>
                <c:pt idx="13">
                  <c:v>24</c:v>
                </c:pt>
                <c:pt idx="14">
                  <c:v>28</c:v>
                </c:pt>
                <c:pt idx="15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B2-4FC8-8557-F393B55AFDE2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HLAVNÍ_VÝSLEDKY!$G$47:$V$47</c:f>
              <c:numCache>
                <c:formatCode>General</c:formatCode>
                <c:ptCount val="16"/>
                <c:pt idx="0">
                  <c:v>24</c:v>
                </c:pt>
                <c:pt idx="1">
                  <c:v>20</c:v>
                </c:pt>
                <c:pt idx="2">
                  <c:v>32</c:v>
                </c:pt>
                <c:pt idx="3">
                  <c:v>48</c:v>
                </c:pt>
                <c:pt idx="4">
                  <c:v>96</c:v>
                </c:pt>
                <c:pt idx="5">
                  <c:v>148</c:v>
                </c:pt>
                <c:pt idx="6">
                  <c:v>108</c:v>
                </c:pt>
                <c:pt idx="7">
                  <c:v>76</c:v>
                </c:pt>
                <c:pt idx="8">
                  <c:v>72</c:v>
                </c:pt>
                <c:pt idx="9">
                  <c:v>76</c:v>
                </c:pt>
                <c:pt idx="10">
                  <c:v>76</c:v>
                </c:pt>
                <c:pt idx="11">
                  <c:v>28</c:v>
                </c:pt>
                <c:pt idx="12">
                  <c:v>64</c:v>
                </c:pt>
                <c:pt idx="13">
                  <c:v>48</c:v>
                </c:pt>
                <c:pt idx="14">
                  <c:v>12</c:v>
                </c:pt>
                <c:pt idx="15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B2-4FC8-8557-F393B55AFDE2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HLAVNÍ_VÝSLEDKY!$G$48:$V$48</c:f>
              <c:numCache>
                <c:formatCode>General</c:formatCode>
                <c:ptCount val="16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24</c:v>
                </c:pt>
                <c:pt idx="4">
                  <c:v>96</c:v>
                </c:pt>
                <c:pt idx="5">
                  <c:v>168</c:v>
                </c:pt>
                <c:pt idx="6">
                  <c:v>116</c:v>
                </c:pt>
                <c:pt idx="7">
                  <c:v>60</c:v>
                </c:pt>
                <c:pt idx="8">
                  <c:v>36</c:v>
                </c:pt>
                <c:pt idx="9">
                  <c:v>64</c:v>
                </c:pt>
                <c:pt idx="10">
                  <c:v>32</c:v>
                </c:pt>
                <c:pt idx="11">
                  <c:v>20</c:v>
                </c:pt>
                <c:pt idx="12">
                  <c:v>32</c:v>
                </c:pt>
                <c:pt idx="13">
                  <c:v>24</c:v>
                </c:pt>
                <c:pt idx="14">
                  <c:v>16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B2-4FC8-8557-F393B55AFDE2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HLAVNÍ_VÝSLEDKY!$G$49:$V$49</c:f>
              <c:numCache>
                <c:formatCode>General</c:formatCode>
                <c:ptCount val="16"/>
                <c:pt idx="0">
                  <c:v>32</c:v>
                </c:pt>
                <c:pt idx="1">
                  <c:v>32</c:v>
                </c:pt>
                <c:pt idx="2">
                  <c:v>72</c:v>
                </c:pt>
                <c:pt idx="3">
                  <c:v>108</c:v>
                </c:pt>
                <c:pt idx="4">
                  <c:v>160</c:v>
                </c:pt>
                <c:pt idx="5">
                  <c:v>268</c:v>
                </c:pt>
                <c:pt idx="6">
                  <c:v>280</c:v>
                </c:pt>
                <c:pt idx="7">
                  <c:v>192</c:v>
                </c:pt>
                <c:pt idx="8">
                  <c:v>300</c:v>
                </c:pt>
                <c:pt idx="9">
                  <c:v>232</c:v>
                </c:pt>
                <c:pt idx="10">
                  <c:v>124</c:v>
                </c:pt>
                <c:pt idx="11">
                  <c:v>148</c:v>
                </c:pt>
                <c:pt idx="12">
                  <c:v>96</c:v>
                </c:pt>
                <c:pt idx="13">
                  <c:v>156</c:v>
                </c:pt>
                <c:pt idx="14">
                  <c:v>88</c:v>
                </c:pt>
                <c:pt idx="15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FB2-4FC8-8557-F393B55AFDE2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HLAVNÍ_VÝSLEDKY!$G$50:$V$50</c:f>
              <c:numCache>
                <c:formatCode>General</c:formatCode>
                <c:ptCount val="16"/>
                <c:pt idx="0">
                  <c:v>28</c:v>
                </c:pt>
                <c:pt idx="1">
                  <c:v>24</c:v>
                </c:pt>
                <c:pt idx="2">
                  <c:v>64</c:v>
                </c:pt>
                <c:pt idx="3">
                  <c:v>48</c:v>
                </c:pt>
                <c:pt idx="4">
                  <c:v>136</c:v>
                </c:pt>
                <c:pt idx="5">
                  <c:v>144</c:v>
                </c:pt>
                <c:pt idx="6">
                  <c:v>184</c:v>
                </c:pt>
                <c:pt idx="7">
                  <c:v>136</c:v>
                </c:pt>
                <c:pt idx="8">
                  <c:v>136</c:v>
                </c:pt>
                <c:pt idx="9">
                  <c:v>108</c:v>
                </c:pt>
                <c:pt idx="10">
                  <c:v>100</c:v>
                </c:pt>
                <c:pt idx="11">
                  <c:v>124</c:v>
                </c:pt>
                <c:pt idx="12">
                  <c:v>120</c:v>
                </c:pt>
                <c:pt idx="13">
                  <c:v>32</c:v>
                </c:pt>
                <c:pt idx="14">
                  <c:v>24</c:v>
                </c:pt>
                <c:pt idx="15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FB2-4FC8-8557-F393B55AFDE2}"/>
            </c:ext>
          </c:extLst>
        </c:ser>
        <c:ser>
          <c:idx val="6"/>
          <c:order val="6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HLAVNÍ_VÝSLEDKY!$G$51:$V$51</c:f>
              <c:numCache>
                <c:formatCode>General</c:formatCode>
                <c:ptCount val="16"/>
                <c:pt idx="0">
                  <c:v>48</c:v>
                </c:pt>
                <c:pt idx="1">
                  <c:v>32</c:v>
                </c:pt>
                <c:pt idx="2">
                  <c:v>48</c:v>
                </c:pt>
                <c:pt idx="3">
                  <c:v>120</c:v>
                </c:pt>
                <c:pt idx="4">
                  <c:v>208</c:v>
                </c:pt>
                <c:pt idx="5">
                  <c:v>388</c:v>
                </c:pt>
                <c:pt idx="6">
                  <c:v>420</c:v>
                </c:pt>
                <c:pt idx="7">
                  <c:v>388</c:v>
                </c:pt>
                <c:pt idx="8">
                  <c:v>324</c:v>
                </c:pt>
                <c:pt idx="9">
                  <c:v>288</c:v>
                </c:pt>
                <c:pt idx="10">
                  <c:v>324</c:v>
                </c:pt>
                <c:pt idx="11">
                  <c:v>160</c:v>
                </c:pt>
                <c:pt idx="12">
                  <c:v>100</c:v>
                </c:pt>
                <c:pt idx="13">
                  <c:v>124</c:v>
                </c:pt>
                <c:pt idx="14">
                  <c:v>28</c:v>
                </c:pt>
                <c:pt idx="15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FB2-4FC8-8557-F393B55AFDE2}"/>
            </c:ext>
          </c:extLst>
        </c:ser>
        <c:ser>
          <c:idx val="7"/>
          <c:order val="7"/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HLAVNÍ_VÝSLEDKY!$G$52:$V$52</c:f>
              <c:numCache>
                <c:formatCode>General</c:formatCode>
                <c:ptCount val="16"/>
                <c:pt idx="0">
                  <c:v>44</c:v>
                </c:pt>
                <c:pt idx="1">
                  <c:v>36</c:v>
                </c:pt>
                <c:pt idx="2">
                  <c:v>48</c:v>
                </c:pt>
                <c:pt idx="3">
                  <c:v>156</c:v>
                </c:pt>
                <c:pt idx="4">
                  <c:v>160</c:v>
                </c:pt>
                <c:pt idx="5">
                  <c:v>192</c:v>
                </c:pt>
                <c:pt idx="6">
                  <c:v>172</c:v>
                </c:pt>
                <c:pt idx="7">
                  <c:v>156</c:v>
                </c:pt>
                <c:pt idx="8">
                  <c:v>156</c:v>
                </c:pt>
                <c:pt idx="9">
                  <c:v>196</c:v>
                </c:pt>
                <c:pt idx="10">
                  <c:v>288</c:v>
                </c:pt>
                <c:pt idx="11">
                  <c:v>64</c:v>
                </c:pt>
                <c:pt idx="12">
                  <c:v>96</c:v>
                </c:pt>
                <c:pt idx="13">
                  <c:v>112</c:v>
                </c:pt>
                <c:pt idx="14">
                  <c:v>64</c:v>
                </c:pt>
                <c:pt idx="15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FB2-4FC8-8557-F393B55AFDE2}"/>
            </c:ext>
          </c:extLst>
        </c:ser>
        <c:ser>
          <c:idx val="8"/>
          <c:order val="8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HLAVNÍ_VÝSLEDKY!$G$53:$V$53</c:f>
              <c:numCache>
                <c:formatCode>General</c:formatCode>
                <c:ptCount val="16"/>
                <c:pt idx="0">
                  <c:v>72</c:v>
                </c:pt>
                <c:pt idx="1">
                  <c:v>84</c:v>
                </c:pt>
                <c:pt idx="2">
                  <c:v>136</c:v>
                </c:pt>
                <c:pt idx="3">
                  <c:v>280</c:v>
                </c:pt>
                <c:pt idx="4">
                  <c:v>376</c:v>
                </c:pt>
                <c:pt idx="5">
                  <c:v>444</c:v>
                </c:pt>
                <c:pt idx="6">
                  <c:v>364</c:v>
                </c:pt>
                <c:pt idx="7">
                  <c:v>312</c:v>
                </c:pt>
                <c:pt idx="8">
                  <c:v>280</c:v>
                </c:pt>
                <c:pt idx="9">
                  <c:v>360</c:v>
                </c:pt>
                <c:pt idx="10">
                  <c:v>396</c:v>
                </c:pt>
                <c:pt idx="11">
                  <c:v>116</c:v>
                </c:pt>
                <c:pt idx="12">
                  <c:v>160</c:v>
                </c:pt>
                <c:pt idx="13">
                  <c:v>160</c:v>
                </c:pt>
                <c:pt idx="14">
                  <c:v>108</c:v>
                </c:pt>
                <c:pt idx="15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FB2-4FC8-8557-F393B55AFDE2}"/>
            </c:ext>
          </c:extLst>
        </c:ser>
        <c:ser>
          <c:idx val="9"/>
          <c:order val="9"/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HLAVNÍ_VÝSLEDKY!$G$54:$V$54</c:f>
              <c:numCache>
                <c:formatCode>General</c:formatCode>
                <c:ptCount val="16"/>
                <c:pt idx="0">
                  <c:v>52</c:v>
                </c:pt>
                <c:pt idx="1">
                  <c:v>44</c:v>
                </c:pt>
                <c:pt idx="2">
                  <c:v>96</c:v>
                </c:pt>
                <c:pt idx="3">
                  <c:v>96</c:v>
                </c:pt>
                <c:pt idx="4">
                  <c:v>232</c:v>
                </c:pt>
                <c:pt idx="5">
                  <c:v>292</c:v>
                </c:pt>
                <c:pt idx="6">
                  <c:v>292</c:v>
                </c:pt>
                <c:pt idx="7">
                  <c:v>212</c:v>
                </c:pt>
                <c:pt idx="8">
                  <c:v>208</c:v>
                </c:pt>
                <c:pt idx="9">
                  <c:v>184</c:v>
                </c:pt>
                <c:pt idx="10">
                  <c:v>176</c:v>
                </c:pt>
                <c:pt idx="11">
                  <c:v>152</c:v>
                </c:pt>
                <c:pt idx="12">
                  <c:v>184</c:v>
                </c:pt>
                <c:pt idx="13">
                  <c:v>80</c:v>
                </c:pt>
                <c:pt idx="14">
                  <c:v>36</c:v>
                </c:pt>
                <c:pt idx="15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FB2-4FC8-8557-F393B55AFDE2}"/>
            </c:ext>
          </c:extLst>
        </c:ser>
        <c:ser>
          <c:idx val="10"/>
          <c:order val="10"/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HLAVNÍ_VÝSLEDKY!$G$55:$V$55</c:f>
              <c:numCache>
                <c:formatCode>General</c:formatCode>
                <c:ptCount val="16"/>
                <c:pt idx="0">
                  <c:v>24</c:v>
                </c:pt>
                <c:pt idx="1">
                  <c:v>20</c:v>
                </c:pt>
                <c:pt idx="2">
                  <c:v>64</c:v>
                </c:pt>
                <c:pt idx="3">
                  <c:v>120</c:v>
                </c:pt>
                <c:pt idx="4">
                  <c:v>156</c:v>
                </c:pt>
                <c:pt idx="5">
                  <c:v>160</c:v>
                </c:pt>
                <c:pt idx="6">
                  <c:v>64</c:v>
                </c:pt>
                <c:pt idx="7">
                  <c:v>100</c:v>
                </c:pt>
                <c:pt idx="8">
                  <c:v>84</c:v>
                </c:pt>
                <c:pt idx="9">
                  <c:v>120</c:v>
                </c:pt>
                <c:pt idx="10">
                  <c:v>88</c:v>
                </c:pt>
                <c:pt idx="11">
                  <c:v>28</c:v>
                </c:pt>
                <c:pt idx="12">
                  <c:v>48</c:v>
                </c:pt>
                <c:pt idx="13">
                  <c:v>36</c:v>
                </c:pt>
                <c:pt idx="14">
                  <c:v>32</c:v>
                </c:pt>
                <c:pt idx="15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FB2-4FC8-8557-F393B55AFDE2}"/>
            </c:ext>
          </c:extLst>
        </c:ser>
        <c:ser>
          <c:idx val="11"/>
          <c:order val="11"/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HLAVNÍ_VÝSLEDKY!$G$56:$V$56</c:f>
              <c:numCache>
                <c:formatCode>General</c:formatCode>
                <c:ptCount val="16"/>
                <c:pt idx="0">
                  <c:v>80</c:v>
                </c:pt>
                <c:pt idx="1">
                  <c:v>64</c:v>
                </c:pt>
                <c:pt idx="2">
                  <c:v>120</c:v>
                </c:pt>
                <c:pt idx="3">
                  <c:v>228</c:v>
                </c:pt>
                <c:pt idx="4">
                  <c:v>368</c:v>
                </c:pt>
                <c:pt idx="5">
                  <c:v>656</c:v>
                </c:pt>
                <c:pt idx="6">
                  <c:v>700</c:v>
                </c:pt>
                <c:pt idx="7">
                  <c:v>580</c:v>
                </c:pt>
                <c:pt idx="8">
                  <c:v>624</c:v>
                </c:pt>
                <c:pt idx="9">
                  <c:v>520</c:v>
                </c:pt>
                <c:pt idx="10">
                  <c:v>448</c:v>
                </c:pt>
                <c:pt idx="11">
                  <c:v>308</c:v>
                </c:pt>
                <c:pt idx="12">
                  <c:v>196</c:v>
                </c:pt>
                <c:pt idx="13">
                  <c:v>280</c:v>
                </c:pt>
                <c:pt idx="14">
                  <c:v>116</c:v>
                </c:pt>
                <c:pt idx="15">
                  <c:v>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FB2-4FC8-8557-F393B55AFD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2355640"/>
        <c:axId val="512358920"/>
      </c:barChart>
      <c:catAx>
        <c:axId val="512355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2358920"/>
        <c:crosses val="autoZero"/>
        <c:auto val="1"/>
        <c:lblAlgn val="ctr"/>
        <c:lblOffset val="100"/>
        <c:noMultiLvlLbl val="0"/>
      </c:catAx>
      <c:valAx>
        <c:axId val="512358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2355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HLAVNÍ_VÝSLEDKY!$G$57:$V$57</c:f>
              <c:numCache>
                <c:formatCode>General</c:formatCode>
                <c:ptCount val="16"/>
                <c:pt idx="0">
                  <c:v>12</c:v>
                </c:pt>
                <c:pt idx="1">
                  <c:v>44</c:v>
                </c:pt>
                <c:pt idx="2">
                  <c:v>76</c:v>
                </c:pt>
                <c:pt idx="3">
                  <c:v>24</c:v>
                </c:pt>
                <c:pt idx="4">
                  <c:v>32</c:v>
                </c:pt>
                <c:pt idx="5">
                  <c:v>48</c:v>
                </c:pt>
                <c:pt idx="6">
                  <c:v>28</c:v>
                </c:pt>
                <c:pt idx="7">
                  <c:v>28</c:v>
                </c:pt>
                <c:pt idx="8">
                  <c:v>32</c:v>
                </c:pt>
                <c:pt idx="9">
                  <c:v>24</c:v>
                </c:pt>
                <c:pt idx="10">
                  <c:v>52</c:v>
                </c:pt>
                <c:pt idx="11">
                  <c:v>24</c:v>
                </c:pt>
                <c:pt idx="12">
                  <c:v>36</c:v>
                </c:pt>
                <c:pt idx="13">
                  <c:v>12</c:v>
                </c:pt>
                <c:pt idx="14">
                  <c:v>24</c:v>
                </c:pt>
                <c:pt idx="15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C0-4171-B794-977ABA5953B7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HLAVNÍ_VÝSLEDKY!$G$58:$V$58</c:f>
              <c:numCache>
                <c:formatCode>General</c:formatCode>
                <c:ptCount val="16"/>
                <c:pt idx="0">
                  <c:v>8</c:v>
                </c:pt>
                <c:pt idx="1">
                  <c:v>32</c:v>
                </c:pt>
                <c:pt idx="2">
                  <c:v>28</c:v>
                </c:pt>
                <c:pt idx="3">
                  <c:v>32</c:v>
                </c:pt>
                <c:pt idx="4">
                  <c:v>52</c:v>
                </c:pt>
                <c:pt idx="5">
                  <c:v>12</c:v>
                </c:pt>
                <c:pt idx="6">
                  <c:v>24</c:v>
                </c:pt>
                <c:pt idx="7">
                  <c:v>36</c:v>
                </c:pt>
                <c:pt idx="8">
                  <c:v>52</c:v>
                </c:pt>
                <c:pt idx="9">
                  <c:v>60</c:v>
                </c:pt>
                <c:pt idx="10">
                  <c:v>24</c:v>
                </c:pt>
                <c:pt idx="11">
                  <c:v>36</c:v>
                </c:pt>
                <c:pt idx="12">
                  <c:v>60</c:v>
                </c:pt>
                <c:pt idx="13">
                  <c:v>0</c:v>
                </c:pt>
                <c:pt idx="14">
                  <c:v>28</c:v>
                </c:pt>
                <c:pt idx="15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C0-4171-B794-977ABA5953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8209864"/>
        <c:axId val="608210192"/>
      </c:barChart>
      <c:catAx>
        <c:axId val="6082098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08210192"/>
        <c:crosses val="autoZero"/>
        <c:auto val="1"/>
        <c:lblAlgn val="ctr"/>
        <c:lblOffset val="100"/>
        <c:noMultiLvlLbl val="0"/>
      </c:catAx>
      <c:valAx>
        <c:axId val="608210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8209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HLAVNÍ_VÝSLEDKY!$G$59:$V$59</c:f>
              <c:numCache>
                <c:formatCode>General</c:formatCode>
                <c:ptCount val="16"/>
                <c:pt idx="0">
                  <c:v>52</c:v>
                </c:pt>
                <c:pt idx="1">
                  <c:v>132</c:v>
                </c:pt>
                <c:pt idx="2">
                  <c:v>168</c:v>
                </c:pt>
                <c:pt idx="3">
                  <c:v>244</c:v>
                </c:pt>
                <c:pt idx="4">
                  <c:v>216</c:v>
                </c:pt>
                <c:pt idx="5">
                  <c:v>336</c:v>
                </c:pt>
                <c:pt idx="6">
                  <c:v>292</c:v>
                </c:pt>
                <c:pt idx="7">
                  <c:v>264</c:v>
                </c:pt>
                <c:pt idx="8">
                  <c:v>300</c:v>
                </c:pt>
                <c:pt idx="9">
                  <c:v>220</c:v>
                </c:pt>
                <c:pt idx="10">
                  <c:v>388</c:v>
                </c:pt>
                <c:pt idx="11">
                  <c:v>376</c:v>
                </c:pt>
                <c:pt idx="12">
                  <c:v>276</c:v>
                </c:pt>
                <c:pt idx="13">
                  <c:v>168</c:v>
                </c:pt>
                <c:pt idx="14">
                  <c:v>304</c:v>
                </c:pt>
                <c:pt idx="15">
                  <c:v>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CE-4230-B4C6-4371A9675582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HLAVNÍ_VÝSLEDKY!$G$60:$V$60</c:f>
              <c:numCache>
                <c:formatCode>General</c:formatCode>
                <c:ptCount val="16"/>
                <c:pt idx="0">
                  <c:v>96</c:v>
                </c:pt>
                <c:pt idx="1">
                  <c:v>60</c:v>
                </c:pt>
                <c:pt idx="2">
                  <c:v>120</c:v>
                </c:pt>
                <c:pt idx="3">
                  <c:v>168</c:v>
                </c:pt>
                <c:pt idx="4">
                  <c:v>204</c:v>
                </c:pt>
                <c:pt idx="5">
                  <c:v>252</c:v>
                </c:pt>
                <c:pt idx="6">
                  <c:v>280</c:v>
                </c:pt>
                <c:pt idx="7">
                  <c:v>216</c:v>
                </c:pt>
                <c:pt idx="8">
                  <c:v>196</c:v>
                </c:pt>
                <c:pt idx="9">
                  <c:v>232</c:v>
                </c:pt>
                <c:pt idx="10">
                  <c:v>240</c:v>
                </c:pt>
                <c:pt idx="11">
                  <c:v>240</c:v>
                </c:pt>
                <c:pt idx="12">
                  <c:v>220</c:v>
                </c:pt>
                <c:pt idx="13">
                  <c:v>216</c:v>
                </c:pt>
                <c:pt idx="14">
                  <c:v>196</c:v>
                </c:pt>
                <c:pt idx="15">
                  <c:v>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CE-4230-B4C6-4371A9675582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HLAVNÍ_VÝSLEDKY!$G$61:$V$61</c:f>
              <c:numCache>
                <c:formatCode>General</c:formatCode>
                <c:ptCount val="16"/>
                <c:pt idx="0">
                  <c:v>32</c:v>
                </c:pt>
                <c:pt idx="1">
                  <c:v>76</c:v>
                </c:pt>
                <c:pt idx="2">
                  <c:v>100</c:v>
                </c:pt>
                <c:pt idx="3">
                  <c:v>204</c:v>
                </c:pt>
                <c:pt idx="4">
                  <c:v>256</c:v>
                </c:pt>
                <c:pt idx="5">
                  <c:v>340</c:v>
                </c:pt>
                <c:pt idx="6">
                  <c:v>316</c:v>
                </c:pt>
                <c:pt idx="7">
                  <c:v>256</c:v>
                </c:pt>
                <c:pt idx="8">
                  <c:v>160</c:v>
                </c:pt>
                <c:pt idx="9">
                  <c:v>148</c:v>
                </c:pt>
                <c:pt idx="10">
                  <c:v>316</c:v>
                </c:pt>
                <c:pt idx="11">
                  <c:v>244</c:v>
                </c:pt>
                <c:pt idx="12">
                  <c:v>180</c:v>
                </c:pt>
                <c:pt idx="13">
                  <c:v>168</c:v>
                </c:pt>
                <c:pt idx="14">
                  <c:v>124</c:v>
                </c:pt>
                <c:pt idx="15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CE-4230-B4C6-4371A9675582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HLAVNÍ_VÝSLEDKY!$G$62:$V$62</c:f>
              <c:numCache>
                <c:formatCode>General</c:formatCode>
                <c:ptCount val="16"/>
                <c:pt idx="0">
                  <c:v>48</c:v>
                </c:pt>
                <c:pt idx="1">
                  <c:v>48</c:v>
                </c:pt>
                <c:pt idx="2">
                  <c:v>84</c:v>
                </c:pt>
                <c:pt idx="3">
                  <c:v>220</c:v>
                </c:pt>
                <c:pt idx="4">
                  <c:v>232</c:v>
                </c:pt>
                <c:pt idx="5">
                  <c:v>252</c:v>
                </c:pt>
                <c:pt idx="6">
                  <c:v>304</c:v>
                </c:pt>
                <c:pt idx="7">
                  <c:v>252</c:v>
                </c:pt>
                <c:pt idx="8">
                  <c:v>208</c:v>
                </c:pt>
                <c:pt idx="9">
                  <c:v>120</c:v>
                </c:pt>
                <c:pt idx="10">
                  <c:v>280</c:v>
                </c:pt>
                <c:pt idx="11">
                  <c:v>256</c:v>
                </c:pt>
                <c:pt idx="12">
                  <c:v>148</c:v>
                </c:pt>
                <c:pt idx="13">
                  <c:v>216</c:v>
                </c:pt>
                <c:pt idx="14">
                  <c:v>96</c:v>
                </c:pt>
                <c:pt idx="15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5CE-4230-B4C6-4371A9675582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HLAVNÍ_VÝSLEDKY!$G$63:$V$63</c:f>
              <c:numCache>
                <c:formatCode>General</c:formatCode>
                <c:ptCount val="16"/>
                <c:pt idx="0">
                  <c:v>156</c:v>
                </c:pt>
                <c:pt idx="1">
                  <c:v>216</c:v>
                </c:pt>
                <c:pt idx="2">
                  <c:v>276</c:v>
                </c:pt>
                <c:pt idx="3">
                  <c:v>612</c:v>
                </c:pt>
                <c:pt idx="4">
                  <c:v>804</c:v>
                </c:pt>
                <c:pt idx="5">
                  <c:v>652</c:v>
                </c:pt>
                <c:pt idx="6">
                  <c:v>732</c:v>
                </c:pt>
                <c:pt idx="7">
                  <c:v>664</c:v>
                </c:pt>
                <c:pt idx="8">
                  <c:v>716</c:v>
                </c:pt>
                <c:pt idx="9">
                  <c:v>700</c:v>
                </c:pt>
                <c:pt idx="10">
                  <c:v>508</c:v>
                </c:pt>
                <c:pt idx="11">
                  <c:v>544</c:v>
                </c:pt>
                <c:pt idx="12">
                  <c:v>352</c:v>
                </c:pt>
                <c:pt idx="13">
                  <c:v>484</c:v>
                </c:pt>
                <c:pt idx="14">
                  <c:v>324</c:v>
                </c:pt>
                <c:pt idx="15">
                  <c:v>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5CE-4230-B4C6-4371A9675582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HLAVNÍ_VÝSLEDKY!$G$64:$V$64</c:f>
              <c:numCache>
                <c:formatCode>General</c:formatCode>
                <c:ptCount val="16"/>
                <c:pt idx="0">
                  <c:v>108</c:v>
                </c:pt>
                <c:pt idx="1">
                  <c:v>136</c:v>
                </c:pt>
                <c:pt idx="2">
                  <c:v>244</c:v>
                </c:pt>
                <c:pt idx="3">
                  <c:v>496</c:v>
                </c:pt>
                <c:pt idx="4">
                  <c:v>468</c:v>
                </c:pt>
                <c:pt idx="5">
                  <c:v>664</c:v>
                </c:pt>
                <c:pt idx="6">
                  <c:v>700</c:v>
                </c:pt>
                <c:pt idx="7">
                  <c:v>676</c:v>
                </c:pt>
                <c:pt idx="8">
                  <c:v>628</c:v>
                </c:pt>
                <c:pt idx="9">
                  <c:v>820</c:v>
                </c:pt>
                <c:pt idx="10">
                  <c:v>552</c:v>
                </c:pt>
                <c:pt idx="11">
                  <c:v>548</c:v>
                </c:pt>
                <c:pt idx="12">
                  <c:v>412</c:v>
                </c:pt>
                <c:pt idx="13">
                  <c:v>340</c:v>
                </c:pt>
                <c:pt idx="14">
                  <c:v>372</c:v>
                </c:pt>
                <c:pt idx="15">
                  <c:v>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5CE-4230-B4C6-4371A9675582}"/>
            </c:ext>
          </c:extLst>
        </c:ser>
        <c:ser>
          <c:idx val="6"/>
          <c:order val="6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HLAVNÍ_VÝSLEDKY!$G$65:$V$65</c:f>
              <c:numCache>
                <c:formatCode>General</c:formatCode>
                <c:ptCount val="16"/>
                <c:pt idx="0">
                  <c:v>144</c:v>
                </c:pt>
                <c:pt idx="1">
                  <c:v>108</c:v>
                </c:pt>
                <c:pt idx="2">
                  <c:v>204</c:v>
                </c:pt>
                <c:pt idx="3">
                  <c:v>388</c:v>
                </c:pt>
                <c:pt idx="4">
                  <c:v>436</c:v>
                </c:pt>
                <c:pt idx="5">
                  <c:v>504</c:v>
                </c:pt>
                <c:pt idx="6">
                  <c:v>584</c:v>
                </c:pt>
                <c:pt idx="7">
                  <c:v>468</c:v>
                </c:pt>
                <c:pt idx="8">
                  <c:v>404</c:v>
                </c:pt>
                <c:pt idx="9">
                  <c:v>352</c:v>
                </c:pt>
                <c:pt idx="10">
                  <c:v>520</c:v>
                </c:pt>
                <c:pt idx="11">
                  <c:v>496</c:v>
                </c:pt>
                <c:pt idx="12">
                  <c:v>368</c:v>
                </c:pt>
                <c:pt idx="13">
                  <c:v>432</c:v>
                </c:pt>
                <c:pt idx="14">
                  <c:v>292</c:v>
                </c:pt>
                <c:pt idx="15">
                  <c:v>220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5CE-4230-B4C6-4371A9675582}"/>
            </c:ext>
          </c:extLst>
        </c:ser>
        <c:ser>
          <c:idx val="7"/>
          <c:order val="7"/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HLAVNÍ_VÝSLEDKY!$G$66:$V$66</c:f>
              <c:numCache>
                <c:formatCode>General</c:formatCode>
                <c:ptCount val="16"/>
                <c:pt idx="0">
                  <c:v>160</c:v>
                </c:pt>
                <c:pt idx="1">
                  <c:v>268</c:v>
                </c:pt>
                <c:pt idx="2">
                  <c:v>412</c:v>
                </c:pt>
                <c:pt idx="3">
                  <c:v>740</c:v>
                </c:pt>
                <c:pt idx="4">
                  <c:v>684</c:v>
                </c:pt>
                <c:pt idx="5">
                  <c:v>1000</c:v>
                </c:pt>
                <c:pt idx="6">
                  <c:v>992</c:v>
                </c:pt>
                <c:pt idx="7">
                  <c:v>940</c:v>
                </c:pt>
                <c:pt idx="8">
                  <c:v>928</c:v>
                </c:pt>
                <c:pt idx="9">
                  <c:v>1040</c:v>
                </c:pt>
                <c:pt idx="10">
                  <c:v>940</c:v>
                </c:pt>
                <c:pt idx="11">
                  <c:v>924</c:v>
                </c:pt>
                <c:pt idx="12">
                  <c:v>688</c:v>
                </c:pt>
                <c:pt idx="13">
                  <c:v>508</c:v>
                </c:pt>
                <c:pt idx="14">
                  <c:v>676</c:v>
                </c:pt>
                <c:pt idx="15">
                  <c:v>640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5CE-4230-B4C6-4371A9675582}"/>
            </c:ext>
          </c:extLst>
        </c:ser>
        <c:ser>
          <c:idx val="8"/>
          <c:order val="8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HLAVNÍ_VÝSLEDKY!$G$67:$V$67</c:f>
              <c:numCache>
                <c:formatCode>General</c:formatCode>
                <c:ptCount val="16"/>
                <c:pt idx="0">
                  <c:v>188</c:v>
                </c:pt>
                <c:pt idx="1">
                  <c:v>292</c:v>
                </c:pt>
                <c:pt idx="2">
                  <c:v>376</c:v>
                </c:pt>
                <c:pt idx="3">
                  <c:v>816</c:v>
                </c:pt>
                <c:pt idx="4">
                  <c:v>1060</c:v>
                </c:pt>
                <c:pt idx="5">
                  <c:v>992</c:v>
                </c:pt>
                <c:pt idx="6">
                  <c:v>1048</c:v>
                </c:pt>
                <c:pt idx="7">
                  <c:v>920</c:v>
                </c:pt>
                <c:pt idx="8">
                  <c:v>876</c:v>
                </c:pt>
                <c:pt idx="9">
                  <c:v>848</c:v>
                </c:pt>
                <c:pt idx="10">
                  <c:v>824</c:v>
                </c:pt>
                <c:pt idx="11">
                  <c:v>788</c:v>
                </c:pt>
                <c:pt idx="12">
                  <c:v>532</c:v>
                </c:pt>
                <c:pt idx="13">
                  <c:v>652</c:v>
                </c:pt>
                <c:pt idx="14">
                  <c:v>448</c:v>
                </c:pt>
                <c:pt idx="15">
                  <c:v>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5CE-4230-B4C6-4371A96755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8085936"/>
        <c:axId val="518082984"/>
      </c:barChart>
      <c:catAx>
        <c:axId val="518085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8082984"/>
        <c:crosses val="autoZero"/>
        <c:auto val="1"/>
        <c:lblAlgn val="ctr"/>
        <c:lblOffset val="100"/>
        <c:noMultiLvlLbl val="0"/>
      </c:catAx>
      <c:valAx>
        <c:axId val="518082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8085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HLAVNÍ_VÝSLEDKY!$G$68:$V$68</c:f>
              <c:numCache>
                <c:formatCode>General</c:formatCode>
                <c:ptCount val="16"/>
                <c:pt idx="0">
                  <c:v>400</c:v>
                </c:pt>
                <c:pt idx="1">
                  <c:v>460</c:v>
                </c:pt>
                <c:pt idx="2">
                  <c:v>472</c:v>
                </c:pt>
                <c:pt idx="3">
                  <c:v>744</c:v>
                </c:pt>
                <c:pt idx="4">
                  <c:v>660</c:v>
                </c:pt>
                <c:pt idx="5">
                  <c:v>936</c:v>
                </c:pt>
                <c:pt idx="6">
                  <c:v>888</c:v>
                </c:pt>
                <c:pt idx="7">
                  <c:v>800</c:v>
                </c:pt>
                <c:pt idx="8">
                  <c:v>600</c:v>
                </c:pt>
                <c:pt idx="9">
                  <c:v>472</c:v>
                </c:pt>
                <c:pt idx="10">
                  <c:v>540</c:v>
                </c:pt>
                <c:pt idx="11">
                  <c:v>708</c:v>
                </c:pt>
                <c:pt idx="12">
                  <c:v>744</c:v>
                </c:pt>
                <c:pt idx="13">
                  <c:v>612</c:v>
                </c:pt>
                <c:pt idx="14">
                  <c:v>532</c:v>
                </c:pt>
                <c:pt idx="15">
                  <c:v>480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E2-41E2-A541-EB544651404E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HLAVNÍ_VÝSLEDKY!$G$69:$V$69</c:f>
              <c:numCache>
                <c:formatCode>General</c:formatCode>
                <c:ptCount val="16"/>
                <c:pt idx="0">
                  <c:v>360</c:v>
                </c:pt>
                <c:pt idx="1">
                  <c:v>396</c:v>
                </c:pt>
                <c:pt idx="2">
                  <c:v>532</c:v>
                </c:pt>
                <c:pt idx="3">
                  <c:v>688</c:v>
                </c:pt>
                <c:pt idx="4">
                  <c:v>640</c:v>
                </c:pt>
                <c:pt idx="5">
                  <c:v>712</c:v>
                </c:pt>
                <c:pt idx="6">
                  <c:v>616</c:v>
                </c:pt>
                <c:pt idx="7">
                  <c:v>744</c:v>
                </c:pt>
                <c:pt idx="8">
                  <c:v>496</c:v>
                </c:pt>
                <c:pt idx="9">
                  <c:v>408</c:v>
                </c:pt>
                <c:pt idx="10">
                  <c:v>580</c:v>
                </c:pt>
                <c:pt idx="11">
                  <c:v>696</c:v>
                </c:pt>
                <c:pt idx="12">
                  <c:v>684</c:v>
                </c:pt>
                <c:pt idx="13">
                  <c:v>624</c:v>
                </c:pt>
                <c:pt idx="14">
                  <c:v>696</c:v>
                </c:pt>
                <c:pt idx="15">
                  <c:v>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E2-41E2-A541-EB544651404E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HLAVNÍ_VÝSLEDKY!$G$70:$V$70</c:f>
              <c:numCache>
                <c:formatCode>General</c:formatCode>
                <c:ptCount val="16"/>
                <c:pt idx="0">
                  <c:v>340</c:v>
                </c:pt>
                <c:pt idx="1">
                  <c:v>312</c:v>
                </c:pt>
                <c:pt idx="2">
                  <c:v>360</c:v>
                </c:pt>
                <c:pt idx="3">
                  <c:v>660</c:v>
                </c:pt>
                <c:pt idx="4">
                  <c:v>616</c:v>
                </c:pt>
                <c:pt idx="5">
                  <c:v>756</c:v>
                </c:pt>
                <c:pt idx="6">
                  <c:v>604</c:v>
                </c:pt>
                <c:pt idx="7">
                  <c:v>624</c:v>
                </c:pt>
                <c:pt idx="8">
                  <c:v>628</c:v>
                </c:pt>
                <c:pt idx="9">
                  <c:v>420</c:v>
                </c:pt>
                <c:pt idx="10">
                  <c:v>436</c:v>
                </c:pt>
                <c:pt idx="11">
                  <c:v>628</c:v>
                </c:pt>
                <c:pt idx="12">
                  <c:v>624</c:v>
                </c:pt>
                <c:pt idx="13">
                  <c:v>612</c:v>
                </c:pt>
                <c:pt idx="14">
                  <c:v>640</c:v>
                </c:pt>
                <c:pt idx="15">
                  <c:v>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E2-41E2-A541-EB544651404E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HLAVNÍ_VÝSLEDKY!$G$71:$V$71</c:f>
              <c:numCache>
                <c:formatCode>General</c:formatCode>
                <c:ptCount val="16"/>
                <c:pt idx="0">
                  <c:v>280</c:v>
                </c:pt>
                <c:pt idx="1">
                  <c:v>516</c:v>
                </c:pt>
                <c:pt idx="2">
                  <c:v>400</c:v>
                </c:pt>
                <c:pt idx="3">
                  <c:v>472</c:v>
                </c:pt>
                <c:pt idx="4">
                  <c:v>472</c:v>
                </c:pt>
                <c:pt idx="5">
                  <c:v>576</c:v>
                </c:pt>
                <c:pt idx="6">
                  <c:v>532</c:v>
                </c:pt>
                <c:pt idx="7">
                  <c:v>484</c:v>
                </c:pt>
                <c:pt idx="8">
                  <c:v>448</c:v>
                </c:pt>
                <c:pt idx="9">
                  <c:v>376</c:v>
                </c:pt>
                <c:pt idx="10">
                  <c:v>304</c:v>
                </c:pt>
                <c:pt idx="11">
                  <c:v>552</c:v>
                </c:pt>
                <c:pt idx="12">
                  <c:v>516</c:v>
                </c:pt>
                <c:pt idx="13">
                  <c:v>492</c:v>
                </c:pt>
                <c:pt idx="14">
                  <c:v>364</c:v>
                </c:pt>
                <c:pt idx="15">
                  <c:v>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CE2-41E2-A541-EB544651404E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HLAVNÍ_VÝSLEDKY!$G$72:$V$72</c:f>
              <c:numCache>
                <c:formatCode>General</c:formatCode>
                <c:ptCount val="16"/>
                <c:pt idx="0">
                  <c:v>640</c:v>
                </c:pt>
                <c:pt idx="1">
                  <c:v>912</c:v>
                </c:pt>
                <c:pt idx="2">
                  <c:v>932</c:v>
                </c:pt>
                <c:pt idx="3">
                  <c:v>1160</c:v>
                </c:pt>
                <c:pt idx="4">
                  <c:v>1112</c:v>
                </c:pt>
                <c:pt idx="5">
                  <c:v>1288</c:v>
                </c:pt>
                <c:pt idx="6">
                  <c:v>1148</c:v>
                </c:pt>
                <c:pt idx="7">
                  <c:v>1228</c:v>
                </c:pt>
                <c:pt idx="8">
                  <c:v>944</c:v>
                </c:pt>
                <c:pt idx="9">
                  <c:v>784</c:v>
                </c:pt>
                <c:pt idx="10">
                  <c:v>884</c:v>
                </c:pt>
                <c:pt idx="11">
                  <c:v>1248</c:v>
                </c:pt>
                <c:pt idx="12">
                  <c:v>1200</c:v>
                </c:pt>
                <c:pt idx="13">
                  <c:v>1116</c:v>
                </c:pt>
                <c:pt idx="14">
                  <c:v>1060</c:v>
                </c:pt>
                <c:pt idx="15">
                  <c:v>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CE2-41E2-A541-EB544651404E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HLAVNÍ_VÝSLEDKY!$G$1:$V$1</c:f>
              <c:strCache>
                <c:ptCount val="16"/>
                <c:pt idx="0">
                  <c:v>7:00-8:00</c:v>
                </c:pt>
                <c:pt idx="1">
                  <c:v>8:00-9:00</c:v>
                </c:pt>
                <c:pt idx="2">
                  <c:v>9:00-10:00</c:v>
                </c:pt>
                <c:pt idx="3">
                  <c:v>10:00-11:00</c:v>
                </c:pt>
                <c:pt idx="4">
                  <c:v>11:00-12:00</c:v>
                </c:pt>
                <c:pt idx="5">
                  <c:v>12:00-13:00</c:v>
                </c:pt>
                <c:pt idx="6">
                  <c:v>13:00-14:00</c:v>
                </c:pt>
                <c:pt idx="7">
                  <c:v>14:00-15:00</c:v>
                </c:pt>
                <c:pt idx="8">
                  <c:v>15:00-16:00</c:v>
                </c:pt>
                <c:pt idx="9">
                  <c:v>16:00-17:00</c:v>
                </c:pt>
                <c:pt idx="10">
                  <c:v>17:00-18:00</c:v>
                </c:pt>
                <c:pt idx="11">
                  <c:v>18:00-19:00</c:v>
                </c:pt>
                <c:pt idx="12">
                  <c:v>19:00-20:00</c:v>
                </c:pt>
                <c:pt idx="13">
                  <c:v>20:00-21:00</c:v>
                </c:pt>
                <c:pt idx="14">
                  <c:v>21:00-22:00</c:v>
                </c:pt>
                <c:pt idx="15">
                  <c:v>22:00-23:00</c:v>
                </c:pt>
              </c:strCache>
            </c:strRef>
          </c:cat>
          <c:val>
            <c:numRef>
              <c:f>HLAVNÍ_VÝSLEDKY!$G$73:$V$73</c:f>
              <c:numCache>
                <c:formatCode>General</c:formatCode>
                <c:ptCount val="16"/>
                <c:pt idx="0">
                  <c:v>740</c:v>
                </c:pt>
                <c:pt idx="1">
                  <c:v>772</c:v>
                </c:pt>
                <c:pt idx="2">
                  <c:v>832</c:v>
                </c:pt>
                <c:pt idx="3">
                  <c:v>1404</c:v>
                </c:pt>
                <c:pt idx="4">
                  <c:v>1276</c:v>
                </c:pt>
                <c:pt idx="5">
                  <c:v>1692</c:v>
                </c:pt>
                <c:pt idx="6">
                  <c:v>1492</c:v>
                </c:pt>
                <c:pt idx="7">
                  <c:v>1424</c:v>
                </c:pt>
                <c:pt idx="8">
                  <c:v>1228</c:v>
                </c:pt>
                <c:pt idx="9">
                  <c:v>892</c:v>
                </c:pt>
                <c:pt idx="10">
                  <c:v>976</c:v>
                </c:pt>
                <c:pt idx="11">
                  <c:v>1336</c:v>
                </c:pt>
                <c:pt idx="12">
                  <c:v>1368</c:v>
                </c:pt>
                <c:pt idx="13">
                  <c:v>1224</c:v>
                </c:pt>
                <c:pt idx="14">
                  <c:v>1172</c:v>
                </c:pt>
                <c:pt idx="15">
                  <c:v>1132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CE2-41E2-A541-EB54465140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4060128"/>
        <c:axId val="614062752"/>
      </c:barChart>
      <c:catAx>
        <c:axId val="6140601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14062752"/>
        <c:crosses val="autoZero"/>
        <c:auto val="1"/>
        <c:lblAlgn val="ctr"/>
        <c:lblOffset val="100"/>
        <c:noMultiLvlLbl val="0"/>
      </c:catAx>
      <c:valAx>
        <c:axId val="614062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4060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41" Type="http://schemas.openxmlformats.org/officeDocument/2006/relationships/chart" Target="../charts/chart41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3114259</xdr:colOff>
      <xdr:row>1</xdr:row>
      <xdr:rowOff>0</xdr:rowOff>
    </xdr:from>
    <xdr:to>
      <xdr:col>34</xdr:col>
      <xdr:colOff>605117</xdr:colOff>
      <xdr:row>10</xdr:row>
      <xdr:rowOff>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CFB3970B-00E8-43F1-8577-64E5987DFA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0</xdr:colOff>
      <xdr:row>10</xdr:row>
      <xdr:rowOff>0</xdr:rowOff>
    </xdr:from>
    <xdr:to>
      <xdr:col>35</xdr:col>
      <xdr:colOff>0</xdr:colOff>
      <xdr:row>17</xdr:row>
      <xdr:rowOff>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EAFE6B51-96D3-48E5-972F-6B70805E64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0</xdr:colOff>
      <xdr:row>17</xdr:row>
      <xdr:rowOff>0</xdr:rowOff>
    </xdr:from>
    <xdr:to>
      <xdr:col>35</xdr:col>
      <xdr:colOff>0</xdr:colOff>
      <xdr:row>26</xdr:row>
      <xdr:rowOff>0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EE888362-F391-4EC2-92A9-C728B0513D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0</xdr:colOff>
      <xdr:row>26</xdr:row>
      <xdr:rowOff>0</xdr:rowOff>
    </xdr:from>
    <xdr:to>
      <xdr:col>35</xdr:col>
      <xdr:colOff>0</xdr:colOff>
      <xdr:row>35</xdr:row>
      <xdr:rowOff>0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E1EDBF00-45C4-4498-A7DB-5B80B2729B3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23</xdr:col>
      <xdr:colOff>0</xdr:colOff>
      <xdr:row>35</xdr:row>
      <xdr:rowOff>0</xdr:rowOff>
    </xdr:from>
    <xdr:to>
      <xdr:col>35</xdr:col>
      <xdr:colOff>0</xdr:colOff>
      <xdr:row>44</xdr:row>
      <xdr:rowOff>0</xdr:rowOff>
    </xdr:to>
    <xdr:graphicFrame macro="">
      <xdr:nvGraphicFramePr>
        <xdr:cNvPr id="7" name="Graf 6">
          <a:extLst>
            <a:ext uri="{FF2B5EF4-FFF2-40B4-BE49-F238E27FC236}">
              <a16:creationId xmlns:a16="http://schemas.microsoft.com/office/drawing/2014/main" id="{14AEFF58-4222-4847-911B-3273A81813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23</xdr:col>
      <xdr:colOff>0</xdr:colOff>
      <xdr:row>44</xdr:row>
      <xdr:rowOff>0</xdr:rowOff>
    </xdr:from>
    <xdr:to>
      <xdr:col>35</xdr:col>
      <xdr:colOff>0</xdr:colOff>
      <xdr:row>56</xdr:row>
      <xdr:rowOff>0</xdr:rowOff>
    </xdr:to>
    <xdr:graphicFrame macro="">
      <xdr:nvGraphicFramePr>
        <xdr:cNvPr id="8" name="Graf 7">
          <a:extLst>
            <a:ext uri="{FF2B5EF4-FFF2-40B4-BE49-F238E27FC236}">
              <a16:creationId xmlns:a16="http://schemas.microsoft.com/office/drawing/2014/main" id="{E0532D6C-9DE5-44EA-A9CE-EA824648E7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23</xdr:col>
      <xdr:colOff>0</xdr:colOff>
      <xdr:row>56</xdr:row>
      <xdr:rowOff>0</xdr:rowOff>
    </xdr:from>
    <xdr:to>
      <xdr:col>35</xdr:col>
      <xdr:colOff>0</xdr:colOff>
      <xdr:row>58</xdr:row>
      <xdr:rowOff>0</xdr:rowOff>
    </xdr:to>
    <xdr:graphicFrame macro="">
      <xdr:nvGraphicFramePr>
        <xdr:cNvPr id="9" name="Graf 8">
          <a:extLst>
            <a:ext uri="{FF2B5EF4-FFF2-40B4-BE49-F238E27FC236}">
              <a16:creationId xmlns:a16="http://schemas.microsoft.com/office/drawing/2014/main" id="{4D59AF21-F27A-49EB-8AD2-0D7BC63C3F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23</xdr:col>
      <xdr:colOff>0</xdr:colOff>
      <xdr:row>58</xdr:row>
      <xdr:rowOff>0</xdr:rowOff>
    </xdr:from>
    <xdr:to>
      <xdr:col>35</xdr:col>
      <xdr:colOff>0</xdr:colOff>
      <xdr:row>67</xdr:row>
      <xdr:rowOff>0</xdr:rowOff>
    </xdr:to>
    <xdr:graphicFrame macro="">
      <xdr:nvGraphicFramePr>
        <xdr:cNvPr id="10" name="Graf 9">
          <a:extLst>
            <a:ext uri="{FF2B5EF4-FFF2-40B4-BE49-F238E27FC236}">
              <a16:creationId xmlns:a16="http://schemas.microsoft.com/office/drawing/2014/main" id="{BD8EEB73-F93A-477D-8AC9-99E1F59F3A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23</xdr:col>
      <xdr:colOff>0</xdr:colOff>
      <xdr:row>67</xdr:row>
      <xdr:rowOff>0</xdr:rowOff>
    </xdr:from>
    <xdr:to>
      <xdr:col>35</xdr:col>
      <xdr:colOff>0</xdr:colOff>
      <xdr:row>73</xdr:row>
      <xdr:rowOff>0</xdr:rowOff>
    </xdr:to>
    <xdr:graphicFrame macro="">
      <xdr:nvGraphicFramePr>
        <xdr:cNvPr id="11" name="Graf 10">
          <a:extLst>
            <a:ext uri="{FF2B5EF4-FFF2-40B4-BE49-F238E27FC236}">
              <a16:creationId xmlns:a16="http://schemas.microsoft.com/office/drawing/2014/main" id="{091CEB47-57A4-4548-A0EA-D51E5A74DB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23</xdr:col>
      <xdr:colOff>0</xdr:colOff>
      <xdr:row>73</xdr:row>
      <xdr:rowOff>0</xdr:rowOff>
    </xdr:from>
    <xdr:to>
      <xdr:col>35</xdr:col>
      <xdr:colOff>0</xdr:colOff>
      <xdr:row>82</xdr:row>
      <xdr:rowOff>0</xdr:rowOff>
    </xdr:to>
    <xdr:graphicFrame macro="">
      <xdr:nvGraphicFramePr>
        <xdr:cNvPr id="12" name="Graf 11">
          <a:extLst>
            <a:ext uri="{FF2B5EF4-FFF2-40B4-BE49-F238E27FC236}">
              <a16:creationId xmlns:a16="http://schemas.microsoft.com/office/drawing/2014/main" id="{2B9025B4-A331-4A06-A40E-D2D57AABE3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23</xdr:col>
      <xdr:colOff>0</xdr:colOff>
      <xdr:row>82</xdr:row>
      <xdr:rowOff>0</xdr:rowOff>
    </xdr:from>
    <xdr:to>
      <xdr:col>35</xdr:col>
      <xdr:colOff>0</xdr:colOff>
      <xdr:row>91</xdr:row>
      <xdr:rowOff>0</xdr:rowOff>
    </xdr:to>
    <xdr:graphicFrame macro="">
      <xdr:nvGraphicFramePr>
        <xdr:cNvPr id="13" name="Graf 12">
          <a:extLst>
            <a:ext uri="{FF2B5EF4-FFF2-40B4-BE49-F238E27FC236}">
              <a16:creationId xmlns:a16="http://schemas.microsoft.com/office/drawing/2014/main" id="{67710356-B84C-4C60-A250-F4FA00107F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23</xdr:col>
      <xdr:colOff>0</xdr:colOff>
      <xdr:row>91</xdr:row>
      <xdr:rowOff>0</xdr:rowOff>
    </xdr:from>
    <xdr:to>
      <xdr:col>35</xdr:col>
      <xdr:colOff>0</xdr:colOff>
      <xdr:row>100</xdr:row>
      <xdr:rowOff>0</xdr:rowOff>
    </xdr:to>
    <xdr:graphicFrame macro="">
      <xdr:nvGraphicFramePr>
        <xdr:cNvPr id="14" name="Graf 13">
          <a:extLst>
            <a:ext uri="{FF2B5EF4-FFF2-40B4-BE49-F238E27FC236}">
              <a16:creationId xmlns:a16="http://schemas.microsoft.com/office/drawing/2014/main" id="{E0C4C5B6-6BF5-4C19-BBF7-9C30AED9CC0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23</xdr:col>
      <xdr:colOff>0</xdr:colOff>
      <xdr:row>100</xdr:row>
      <xdr:rowOff>0</xdr:rowOff>
    </xdr:from>
    <xdr:to>
      <xdr:col>35</xdr:col>
      <xdr:colOff>0</xdr:colOff>
      <xdr:row>102</xdr:row>
      <xdr:rowOff>0</xdr:rowOff>
    </xdr:to>
    <xdr:graphicFrame macro="">
      <xdr:nvGraphicFramePr>
        <xdr:cNvPr id="15" name="Graf 14">
          <a:extLst>
            <a:ext uri="{FF2B5EF4-FFF2-40B4-BE49-F238E27FC236}">
              <a16:creationId xmlns:a16="http://schemas.microsoft.com/office/drawing/2014/main" id="{76EEABAB-DBA7-4393-BC95-8C6C72AD966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23</xdr:col>
      <xdr:colOff>0</xdr:colOff>
      <xdr:row>102</xdr:row>
      <xdr:rowOff>0</xdr:rowOff>
    </xdr:from>
    <xdr:to>
      <xdr:col>35</xdr:col>
      <xdr:colOff>0</xdr:colOff>
      <xdr:row>104</xdr:row>
      <xdr:rowOff>0</xdr:rowOff>
    </xdr:to>
    <xdr:graphicFrame macro="">
      <xdr:nvGraphicFramePr>
        <xdr:cNvPr id="16" name="Graf 15">
          <a:extLst>
            <a:ext uri="{FF2B5EF4-FFF2-40B4-BE49-F238E27FC236}">
              <a16:creationId xmlns:a16="http://schemas.microsoft.com/office/drawing/2014/main" id="{8E142C69-48D4-481F-A19F-03D6D43F41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23</xdr:col>
      <xdr:colOff>0</xdr:colOff>
      <xdr:row>104</xdr:row>
      <xdr:rowOff>0</xdr:rowOff>
    </xdr:from>
    <xdr:to>
      <xdr:col>35</xdr:col>
      <xdr:colOff>0</xdr:colOff>
      <xdr:row>112</xdr:row>
      <xdr:rowOff>0</xdr:rowOff>
    </xdr:to>
    <xdr:graphicFrame macro="">
      <xdr:nvGraphicFramePr>
        <xdr:cNvPr id="17" name="Graf 16">
          <a:extLst>
            <a:ext uri="{FF2B5EF4-FFF2-40B4-BE49-F238E27FC236}">
              <a16:creationId xmlns:a16="http://schemas.microsoft.com/office/drawing/2014/main" id="{EC171D57-ADCA-4987-9AB7-35276DDB28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23</xdr:col>
      <xdr:colOff>0</xdr:colOff>
      <xdr:row>112</xdr:row>
      <xdr:rowOff>0</xdr:rowOff>
    </xdr:from>
    <xdr:to>
      <xdr:col>35</xdr:col>
      <xdr:colOff>0</xdr:colOff>
      <xdr:row>114</xdr:row>
      <xdr:rowOff>0</xdr:rowOff>
    </xdr:to>
    <xdr:graphicFrame macro="">
      <xdr:nvGraphicFramePr>
        <xdr:cNvPr id="18" name="Graf 17">
          <a:extLst>
            <a:ext uri="{FF2B5EF4-FFF2-40B4-BE49-F238E27FC236}">
              <a16:creationId xmlns:a16="http://schemas.microsoft.com/office/drawing/2014/main" id="{8FB67D65-CEA1-42C6-B8AE-58DD94E556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23</xdr:col>
      <xdr:colOff>0</xdr:colOff>
      <xdr:row>114</xdr:row>
      <xdr:rowOff>0</xdr:rowOff>
    </xdr:from>
    <xdr:to>
      <xdr:col>35</xdr:col>
      <xdr:colOff>0</xdr:colOff>
      <xdr:row>122</xdr:row>
      <xdr:rowOff>0</xdr:rowOff>
    </xdr:to>
    <xdr:graphicFrame macro="">
      <xdr:nvGraphicFramePr>
        <xdr:cNvPr id="19" name="Graf 18">
          <a:extLst>
            <a:ext uri="{FF2B5EF4-FFF2-40B4-BE49-F238E27FC236}">
              <a16:creationId xmlns:a16="http://schemas.microsoft.com/office/drawing/2014/main" id="{C05EEDC1-9AAD-446E-84D4-307699F85A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23</xdr:col>
      <xdr:colOff>0</xdr:colOff>
      <xdr:row>122</xdr:row>
      <xdr:rowOff>0</xdr:rowOff>
    </xdr:from>
    <xdr:to>
      <xdr:col>35</xdr:col>
      <xdr:colOff>0</xdr:colOff>
      <xdr:row>131</xdr:row>
      <xdr:rowOff>0</xdr:rowOff>
    </xdr:to>
    <xdr:graphicFrame macro="">
      <xdr:nvGraphicFramePr>
        <xdr:cNvPr id="20" name="Graf 19">
          <a:extLst>
            <a:ext uri="{FF2B5EF4-FFF2-40B4-BE49-F238E27FC236}">
              <a16:creationId xmlns:a16="http://schemas.microsoft.com/office/drawing/2014/main" id="{E3A465B0-E63D-4B43-86D1-7B542DF2A8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23</xdr:col>
      <xdr:colOff>0</xdr:colOff>
      <xdr:row>131</xdr:row>
      <xdr:rowOff>0</xdr:rowOff>
    </xdr:from>
    <xdr:to>
      <xdr:col>35</xdr:col>
      <xdr:colOff>0</xdr:colOff>
      <xdr:row>140</xdr:row>
      <xdr:rowOff>0</xdr:rowOff>
    </xdr:to>
    <xdr:graphicFrame macro="">
      <xdr:nvGraphicFramePr>
        <xdr:cNvPr id="21" name="Graf 20">
          <a:extLst>
            <a:ext uri="{FF2B5EF4-FFF2-40B4-BE49-F238E27FC236}">
              <a16:creationId xmlns:a16="http://schemas.microsoft.com/office/drawing/2014/main" id="{F608D3AB-9870-49F3-A80C-8684B2F5F7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23</xdr:col>
      <xdr:colOff>0</xdr:colOff>
      <xdr:row>140</xdr:row>
      <xdr:rowOff>0</xdr:rowOff>
    </xdr:from>
    <xdr:to>
      <xdr:col>35</xdr:col>
      <xdr:colOff>0</xdr:colOff>
      <xdr:row>149</xdr:row>
      <xdr:rowOff>0</xdr:rowOff>
    </xdr:to>
    <xdr:graphicFrame macro="">
      <xdr:nvGraphicFramePr>
        <xdr:cNvPr id="22" name="Graf 21">
          <a:extLst>
            <a:ext uri="{FF2B5EF4-FFF2-40B4-BE49-F238E27FC236}">
              <a16:creationId xmlns:a16="http://schemas.microsoft.com/office/drawing/2014/main" id="{6A41D841-B30C-48EA-B8A1-098329E8C0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23</xdr:col>
      <xdr:colOff>0</xdr:colOff>
      <xdr:row>149</xdr:row>
      <xdr:rowOff>0</xdr:rowOff>
    </xdr:from>
    <xdr:to>
      <xdr:col>35</xdr:col>
      <xdr:colOff>0</xdr:colOff>
      <xdr:row>158</xdr:row>
      <xdr:rowOff>0</xdr:rowOff>
    </xdr:to>
    <xdr:graphicFrame macro="">
      <xdr:nvGraphicFramePr>
        <xdr:cNvPr id="23" name="Graf 22">
          <a:extLst>
            <a:ext uri="{FF2B5EF4-FFF2-40B4-BE49-F238E27FC236}">
              <a16:creationId xmlns:a16="http://schemas.microsoft.com/office/drawing/2014/main" id="{EB2B828B-81D2-4F4E-B7B6-97925CF691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23</xdr:col>
      <xdr:colOff>0</xdr:colOff>
      <xdr:row>158</xdr:row>
      <xdr:rowOff>0</xdr:rowOff>
    </xdr:from>
    <xdr:to>
      <xdr:col>35</xdr:col>
      <xdr:colOff>0</xdr:colOff>
      <xdr:row>164</xdr:row>
      <xdr:rowOff>0</xdr:rowOff>
    </xdr:to>
    <xdr:graphicFrame macro="">
      <xdr:nvGraphicFramePr>
        <xdr:cNvPr id="24" name="Graf 23">
          <a:extLst>
            <a:ext uri="{FF2B5EF4-FFF2-40B4-BE49-F238E27FC236}">
              <a16:creationId xmlns:a16="http://schemas.microsoft.com/office/drawing/2014/main" id="{5866E789-574E-4834-A481-0DA34A24E1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23</xdr:col>
      <xdr:colOff>0</xdr:colOff>
      <xdr:row>164</xdr:row>
      <xdr:rowOff>0</xdr:rowOff>
    </xdr:from>
    <xdr:to>
      <xdr:col>35</xdr:col>
      <xdr:colOff>0</xdr:colOff>
      <xdr:row>173</xdr:row>
      <xdr:rowOff>0</xdr:rowOff>
    </xdr:to>
    <xdr:graphicFrame macro="">
      <xdr:nvGraphicFramePr>
        <xdr:cNvPr id="25" name="Graf 24">
          <a:extLst>
            <a:ext uri="{FF2B5EF4-FFF2-40B4-BE49-F238E27FC236}">
              <a16:creationId xmlns:a16="http://schemas.microsoft.com/office/drawing/2014/main" id="{0003BAC1-941A-4835-A222-A2FCD57D730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23</xdr:col>
      <xdr:colOff>0</xdr:colOff>
      <xdr:row>173</xdr:row>
      <xdr:rowOff>0</xdr:rowOff>
    </xdr:from>
    <xdr:to>
      <xdr:col>35</xdr:col>
      <xdr:colOff>0</xdr:colOff>
      <xdr:row>182</xdr:row>
      <xdr:rowOff>0</xdr:rowOff>
    </xdr:to>
    <xdr:graphicFrame macro="">
      <xdr:nvGraphicFramePr>
        <xdr:cNvPr id="26" name="Graf 25">
          <a:extLst>
            <a:ext uri="{FF2B5EF4-FFF2-40B4-BE49-F238E27FC236}">
              <a16:creationId xmlns:a16="http://schemas.microsoft.com/office/drawing/2014/main" id="{93641B1A-0BC7-4061-BE6A-18134FCC48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23</xdr:col>
      <xdr:colOff>0</xdr:colOff>
      <xdr:row>182</xdr:row>
      <xdr:rowOff>0</xdr:rowOff>
    </xdr:from>
    <xdr:to>
      <xdr:col>35</xdr:col>
      <xdr:colOff>0</xdr:colOff>
      <xdr:row>184</xdr:row>
      <xdr:rowOff>0</xdr:rowOff>
    </xdr:to>
    <xdr:graphicFrame macro="">
      <xdr:nvGraphicFramePr>
        <xdr:cNvPr id="27" name="Graf 26">
          <a:extLst>
            <a:ext uri="{FF2B5EF4-FFF2-40B4-BE49-F238E27FC236}">
              <a16:creationId xmlns:a16="http://schemas.microsoft.com/office/drawing/2014/main" id="{BD0F7109-B4F0-425C-9F18-5AAF1C43F42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23</xdr:col>
      <xdr:colOff>0</xdr:colOff>
      <xdr:row>184</xdr:row>
      <xdr:rowOff>0</xdr:rowOff>
    </xdr:from>
    <xdr:to>
      <xdr:col>35</xdr:col>
      <xdr:colOff>0</xdr:colOff>
      <xdr:row>186</xdr:row>
      <xdr:rowOff>0</xdr:rowOff>
    </xdr:to>
    <xdr:graphicFrame macro="">
      <xdr:nvGraphicFramePr>
        <xdr:cNvPr id="28" name="Graf 27">
          <a:extLst>
            <a:ext uri="{FF2B5EF4-FFF2-40B4-BE49-F238E27FC236}">
              <a16:creationId xmlns:a16="http://schemas.microsoft.com/office/drawing/2014/main" id="{921D876B-ECDB-4E49-8695-C585E25E06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23</xdr:col>
      <xdr:colOff>0</xdr:colOff>
      <xdr:row>186</xdr:row>
      <xdr:rowOff>0</xdr:rowOff>
    </xdr:from>
    <xdr:to>
      <xdr:col>35</xdr:col>
      <xdr:colOff>0</xdr:colOff>
      <xdr:row>188</xdr:row>
      <xdr:rowOff>0</xdr:rowOff>
    </xdr:to>
    <xdr:graphicFrame macro="">
      <xdr:nvGraphicFramePr>
        <xdr:cNvPr id="29" name="Graf 28">
          <a:extLst>
            <a:ext uri="{FF2B5EF4-FFF2-40B4-BE49-F238E27FC236}">
              <a16:creationId xmlns:a16="http://schemas.microsoft.com/office/drawing/2014/main" id="{64A71146-8281-4789-8E3D-D35707EB17E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23</xdr:col>
      <xdr:colOff>0</xdr:colOff>
      <xdr:row>188</xdr:row>
      <xdr:rowOff>0</xdr:rowOff>
    </xdr:from>
    <xdr:to>
      <xdr:col>35</xdr:col>
      <xdr:colOff>0</xdr:colOff>
      <xdr:row>193</xdr:row>
      <xdr:rowOff>0</xdr:rowOff>
    </xdr:to>
    <xdr:graphicFrame macro="">
      <xdr:nvGraphicFramePr>
        <xdr:cNvPr id="30" name="Graf 29">
          <a:extLst>
            <a:ext uri="{FF2B5EF4-FFF2-40B4-BE49-F238E27FC236}">
              <a16:creationId xmlns:a16="http://schemas.microsoft.com/office/drawing/2014/main" id="{EBA9CC0B-75B1-4FB7-826C-3E342342B8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23</xdr:col>
      <xdr:colOff>0</xdr:colOff>
      <xdr:row>193</xdr:row>
      <xdr:rowOff>0</xdr:rowOff>
    </xdr:from>
    <xdr:to>
      <xdr:col>35</xdr:col>
      <xdr:colOff>0</xdr:colOff>
      <xdr:row>195</xdr:row>
      <xdr:rowOff>0</xdr:rowOff>
    </xdr:to>
    <xdr:graphicFrame macro="">
      <xdr:nvGraphicFramePr>
        <xdr:cNvPr id="31" name="Graf 30">
          <a:extLst>
            <a:ext uri="{FF2B5EF4-FFF2-40B4-BE49-F238E27FC236}">
              <a16:creationId xmlns:a16="http://schemas.microsoft.com/office/drawing/2014/main" id="{F90B8B86-882C-43BF-BA76-FE92E4C50F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23</xdr:col>
      <xdr:colOff>0</xdr:colOff>
      <xdr:row>195</xdr:row>
      <xdr:rowOff>0</xdr:rowOff>
    </xdr:from>
    <xdr:to>
      <xdr:col>35</xdr:col>
      <xdr:colOff>0</xdr:colOff>
      <xdr:row>197</xdr:row>
      <xdr:rowOff>0</xdr:rowOff>
    </xdr:to>
    <xdr:graphicFrame macro="">
      <xdr:nvGraphicFramePr>
        <xdr:cNvPr id="32" name="Graf 31">
          <a:extLst>
            <a:ext uri="{FF2B5EF4-FFF2-40B4-BE49-F238E27FC236}">
              <a16:creationId xmlns:a16="http://schemas.microsoft.com/office/drawing/2014/main" id="{D8059263-E809-4F65-B3D4-6BFF98721E2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23</xdr:col>
      <xdr:colOff>0</xdr:colOff>
      <xdr:row>197</xdr:row>
      <xdr:rowOff>0</xdr:rowOff>
    </xdr:from>
    <xdr:to>
      <xdr:col>35</xdr:col>
      <xdr:colOff>0</xdr:colOff>
      <xdr:row>199</xdr:row>
      <xdr:rowOff>0</xdr:rowOff>
    </xdr:to>
    <xdr:graphicFrame macro="">
      <xdr:nvGraphicFramePr>
        <xdr:cNvPr id="33" name="Graf 32">
          <a:extLst>
            <a:ext uri="{FF2B5EF4-FFF2-40B4-BE49-F238E27FC236}">
              <a16:creationId xmlns:a16="http://schemas.microsoft.com/office/drawing/2014/main" id="{9E8E44A9-B07A-4672-A1C7-A94D259AF2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23</xdr:col>
      <xdr:colOff>0</xdr:colOff>
      <xdr:row>199</xdr:row>
      <xdr:rowOff>0</xdr:rowOff>
    </xdr:from>
    <xdr:to>
      <xdr:col>35</xdr:col>
      <xdr:colOff>0</xdr:colOff>
      <xdr:row>201</xdr:row>
      <xdr:rowOff>0</xdr:rowOff>
    </xdr:to>
    <xdr:graphicFrame macro="">
      <xdr:nvGraphicFramePr>
        <xdr:cNvPr id="34" name="Graf 33">
          <a:extLst>
            <a:ext uri="{FF2B5EF4-FFF2-40B4-BE49-F238E27FC236}">
              <a16:creationId xmlns:a16="http://schemas.microsoft.com/office/drawing/2014/main" id="{E68040BF-399A-44C3-85D7-4FDE62BBA6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23</xdr:col>
      <xdr:colOff>0</xdr:colOff>
      <xdr:row>201</xdr:row>
      <xdr:rowOff>0</xdr:rowOff>
    </xdr:from>
    <xdr:to>
      <xdr:col>35</xdr:col>
      <xdr:colOff>0</xdr:colOff>
      <xdr:row>210</xdr:row>
      <xdr:rowOff>0</xdr:rowOff>
    </xdr:to>
    <xdr:graphicFrame macro="">
      <xdr:nvGraphicFramePr>
        <xdr:cNvPr id="35" name="Graf 34">
          <a:extLst>
            <a:ext uri="{FF2B5EF4-FFF2-40B4-BE49-F238E27FC236}">
              <a16:creationId xmlns:a16="http://schemas.microsoft.com/office/drawing/2014/main" id="{21943C1C-A2AF-42A5-8617-DD93CA6A99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23</xdr:col>
      <xdr:colOff>0</xdr:colOff>
      <xdr:row>220</xdr:row>
      <xdr:rowOff>0</xdr:rowOff>
    </xdr:from>
    <xdr:to>
      <xdr:col>35</xdr:col>
      <xdr:colOff>0</xdr:colOff>
      <xdr:row>226</xdr:row>
      <xdr:rowOff>0</xdr:rowOff>
    </xdr:to>
    <xdr:graphicFrame macro="">
      <xdr:nvGraphicFramePr>
        <xdr:cNvPr id="36" name="Graf 35">
          <a:extLst>
            <a:ext uri="{FF2B5EF4-FFF2-40B4-BE49-F238E27FC236}">
              <a16:creationId xmlns:a16="http://schemas.microsoft.com/office/drawing/2014/main" id="{BD808F6E-01CD-4A0D-8F15-452B1D3893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23</xdr:col>
      <xdr:colOff>0</xdr:colOff>
      <xdr:row>232</xdr:row>
      <xdr:rowOff>0</xdr:rowOff>
    </xdr:from>
    <xdr:to>
      <xdr:col>35</xdr:col>
      <xdr:colOff>0</xdr:colOff>
      <xdr:row>243</xdr:row>
      <xdr:rowOff>0</xdr:rowOff>
    </xdr:to>
    <xdr:graphicFrame macro="">
      <xdr:nvGraphicFramePr>
        <xdr:cNvPr id="37" name="Graf 36">
          <a:extLst>
            <a:ext uri="{FF2B5EF4-FFF2-40B4-BE49-F238E27FC236}">
              <a16:creationId xmlns:a16="http://schemas.microsoft.com/office/drawing/2014/main" id="{53D91230-6A9C-46EB-B014-E00C03A78E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23</xdr:col>
      <xdr:colOff>0</xdr:colOff>
      <xdr:row>243</xdr:row>
      <xdr:rowOff>0</xdr:rowOff>
    </xdr:from>
    <xdr:to>
      <xdr:col>35</xdr:col>
      <xdr:colOff>0</xdr:colOff>
      <xdr:row>252</xdr:row>
      <xdr:rowOff>0</xdr:rowOff>
    </xdr:to>
    <xdr:graphicFrame macro="">
      <xdr:nvGraphicFramePr>
        <xdr:cNvPr id="38" name="Graf 37">
          <a:extLst>
            <a:ext uri="{FF2B5EF4-FFF2-40B4-BE49-F238E27FC236}">
              <a16:creationId xmlns:a16="http://schemas.microsoft.com/office/drawing/2014/main" id="{E685C17F-DCF1-4E20-99C1-78B0B77FCC4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23</xdr:col>
      <xdr:colOff>0</xdr:colOff>
      <xdr:row>252</xdr:row>
      <xdr:rowOff>0</xdr:rowOff>
    </xdr:from>
    <xdr:to>
      <xdr:col>35</xdr:col>
      <xdr:colOff>0</xdr:colOff>
      <xdr:row>258</xdr:row>
      <xdr:rowOff>0</xdr:rowOff>
    </xdr:to>
    <xdr:graphicFrame macro="">
      <xdr:nvGraphicFramePr>
        <xdr:cNvPr id="40" name="Graf 39">
          <a:extLst>
            <a:ext uri="{FF2B5EF4-FFF2-40B4-BE49-F238E27FC236}">
              <a16:creationId xmlns:a16="http://schemas.microsoft.com/office/drawing/2014/main" id="{C0BF9387-2A18-4B27-AB00-D5F04B3652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23</xdr:col>
      <xdr:colOff>0</xdr:colOff>
      <xdr:row>258</xdr:row>
      <xdr:rowOff>0</xdr:rowOff>
    </xdr:from>
    <xdr:to>
      <xdr:col>35</xdr:col>
      <xdr:colOff>0</xdr:colOff>
      <xdr:row>264</xdr:row>
      <xdr:rowOff>0</xdr:rowOff>
    </xdr:to>
    <xdr:graphicFrame macro="">
      <xdr:nvGraphicFramePr>
        <xdr:cNvPr id="41" name="Graf 40">
          <a:extLst>
            <a:ext uri="{FF2B5EF4-FFF2-40B4-BE49-F238E27FC236}">
              <a16:creationId xmlns:a16="http://schemas.microsoft.com/office/drawing/2014/main" id="{17E12655-67DE-4A45-9BAD-F548650FD34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23</xdr:col>
      <xdr:colOff>0</xdr:colOff>
      <xdr:row>264</xdr:row>
      <xdr:rowOff>0</xdr:rowOff>
    </xdr:from>
    <xdr:to>
      <xdr:col>35</xdr:col>
      <xdr:colOff>0</xdr:colOff>
      <xdr:row>273</xdr:row>
      <xdr:rowOff>0</xdr:rowOff>
    </xdr:to>
    <xdr:graphicFrame macro="">
      <xdr:nvGraphicFramePr>
        <xdr:cNvPr id="42" name="Graf 41">
          <a:extLst>
            <a:ext uri="{FF2B5EF4-FFF2-40B4-BE49-F238E27FC236}">
              <a16:creationId xmlns:a16="http://schemas.microsoft.com/office/drawing/2014/main" id="{4C6AC32F-9EB9-457B-894E-75270EDFDC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23</xdr:col>
      <xdr:colOff>0</xdr:colOff>
      <xdr:row>210</xdr:row>
      <xdr:rowOff>4817</xdr:rowOff>
    </xdr:from>
    <xdr:to>
      <xdr:col>35</xdr:col>
      <xdr:colOff>0</xdr:colOff>
      <xdr:row>212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BAF24C3-48CD-4FF2-B3AA-78645F3805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23</xdr:col>
      <xdr:colOff>0</xdr:colOff>
      <xdr:row>212</xdr:row>
      <xdr:rowOff>15765</xdr:rowOff>
    </xdr:from>
    <xdr:to>
      <xdr:col>35</xdr:col>
      <xdr:colOff>0</xdr:colOff>
      <xdr:row>220</xdr:row>
      <xdr:rowOff>0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4E8EBDB3-6671-43E0-BB0B-12B421EB60C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23</xdr:col>
      <xdr:colOff>0</xdr:colOff>
      <xdr:row>226</xdr:row>
      <xdr:rowOff>0</xdr:rowOff>
    </xdr:from>
    <xdr:to>
      <xdr:col>35</xdr:col>
      <xdr:colOff>0</xdr:colOff>
      <xdr:row>232</xdr:row>
      <xdr:rowOff>0</xdr:rowOff>
    </xdr:to>
    <xdr:graphicFrame macro="">
      <xdr:nvGraphicFramePr>
        <xdr:cNvPr id="43" name="Chart 42">
          <a:extLst>
            <a:ext uri="{FF2B5EF4-FFF2-40B4-BE49-F238E27FC236}">
              <a16:creationId xmlns:a16="http://schemas.microsoft.com/office/drawing/2014/main" id="{3415FB65-F8E5-41A4-A818-629D8F4AC6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E007C9A-D8A2-482D-A0E4-7EC0FA861ACF}" name="Table1" displayName="Table1" ref="G1:X273" totalsRowShown="0" headerRowDxfId="3" headerRowBorderDxfId="2">
  <autoFilter ref="G1:X273" xr:uid="{594EC0A1-FCAC-433F-BAC5-EACE7156C263}"/>
  <tableColumns count="18">
    <tableColumn id="5" xr3:uid="{75C24259-C02B-4395-ADB7-6C358B665CEE}" name="7:00-8:00"/>
    <tableColumn id="6" xr3:uid="{B6425B5C-0E81-4285-BEAD-86ECD9ABBF0E}" name="8:00-9:00" dataDxfId="1"/>
    <tableColumn id="7" xr3:uid="{829CE2F2-989D-4EAC-9C2A-FAF462DF557D}" name="9:00-10:00"/>
    <tableColumn id="8" xr3:uid="{21CF11D0-1092-468A-9B1B-747657EAF2B6}" name="10:00-11:00"/>
    <tableColumn id="9" xr3:uid="{0AFD53C6-396E-481B-9809-4AF01A189712}" name="11:00-12:00"/>
    <tableColumn id="10" xr3:uid="{93C0DF89-CB2C-466F-B316-066ADA88F788}" name="12:00-13:00"/>
    <tableColumn id="11" xr3:uid="{F2983B31-FFB8-41AA-B9BC-5ED36CF015A4}" name="13:00-14:00"/>
    <tableColumn id="12" xr3:uid="{C5339A43-70B2-4102-8E46-8A53418B6D56}" name="14:00-15:00"/>
    <tableColumn id="13" xr3:uid="{C61FB146-1B26-4D74-AC9F-1B7514369146}" name="15:00-16:00"/>
    <tableColumn id="14" xr3:uid="{249ACC20-A6FF-4CF9-A791-76FF542CCFA9}" name="16:00-17:00"/>
    <tableColumn id="15" xr3:uid="{B25CE33D-4A47-4D0D-AE07-27CF87D5956D}" name="17:00-18:00"/>
    <tableColumn id="16" xr3:uid="{1794D751-89FE-46B3-A03B-3E363FBCD06E}" name="18:00-19:00"/>
    <tableColumn id="17" xr3:uid="{6FA6D6CF-C762-43DA-8EC9-BBABDA03A0AB}" name="19:00-20:00"/>
    <tableColumn id="18" xr3:uid="{4D5C2FAE-5421-4F08-A7C3-2CD7B72C86CB}" name="20:00-21:00"/>
    <tableColumn id="19" xr3:uid="{CB13A2CE-4D1F-4FCC-B50A-8E8029283231}" name="21:00-22:00"/>
    <tableColumn id="20" xr3:uid="{CECD9A74-018A-43B1-9EAA-3B2987E2CB8F}" name="22:00-23:00"/>
    <tableColumn id="22" xr3:uid="{2D0E9530-B445-4231-B513-11D1E2EADD6D}" name="celkem za den" dataDxfId="0">
      <calculatedColumnFormula>SUM(Table1[[#This Row],[7:00-8:00]:[22:00-23:00]])</calculatedColumnFormula>
    </tableColumn>
    <tableColumn id="1" xr3:uid="{F6AA5CDB-C2CB-4512-95C3-466F052241E5}" name="poznámky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1F547-07BC-4195-8C77-14FE3247D89A}">
  <dimension ref="A1:X273"/>
  <sheetViews>
    <sheetView tabSelected="1" zoomScale="87" zoomScaleNormal="87" workbookViewId="0">
      <pane xSplit="3" ySplit="1" topLeftCell="G29" activePane="bottomRight" state="frozen"/>
      <selection pane="topRight" activeCell="D1" sqref="D1"/>
      <selection pane="bottomLeft" activeCell="A2" sqref="A2"/>
      <selection pane="bottomRight" activeCell="AJ43" sqref="AJ43"/>
    </sheetView>
  </sheetViews>
  <sheetFormatPr defaultRowHeight="15" x14ac:dyDescent="0.25"/>
  <cols>
    <col min="1" max="1" width="0" hidden="1" customWidth="1"/>
    <col min="3" max="3" width="34.7109375" customWidth="1"/>
    <col min="4" max="4" width="8.28515625" bestFit="1" customWidth="1"/>
    <col min="5" max="5" width="6.7109375" style="27" bestFit="1" customWidth="1"/>
    <col min="6" max="6" width="68" bestFit="1" customWidth="1"/>
    <col min="7" max="22" width="8.85546875" customWidth="1"/>
    <col min="23" max="23" width="17" customWidth="1"/>
    <col min="24" max="24" width="46.7109375" hidden="1" customWidth="1"/>
  </cols>
  <sheetData>
    <row r="1" spans="1:24" s="37" customFormat="1" ht="67.5" customHeight="1" x14ac:dyDescent="0.25">
      <c r="B1" s="38" t="s">
        <v>0</v>
      </c>
      <c r="C1" s="38" t="s">
        <v>1</v>
      </c>
      <c r="D1" s="39" t="s">
        <v>2</v>
      </c>
      <c r="E1" s="40" t="s">
        <v>3</v>
      </c>
      <c r="F1" s="38" t="s">
        <v>4</v>
      </c>
      <c r="G1" s="41" t="s">
        <v>5</v>
      </c>
      <c r="H1" s="41" t="s">
        <v>6</v>
      </c>
      <c r="I1" s="41" t="s">
        <v>7</v>
      </c>
      <c r="J1" s="41" t="s">
        <v>8</v>
      </c>
      <c r="K1" s="41" t="s">
        <v>9</v>
      </c>
      <c r="L1" s="41" t="s">
        <v>10</v>
      </c>
      <c r="M1" s="41" t="s">
        <v>11</v>
      </c>
      <c r="N1" s="41" t="s">
        <v>12</v>
      </c>
      <c r="O1" s="41" t="s">
        <v>13</v>
      </c>
      <c r="P1" s="41" t="s">
        <v>14</v>
      </c>
      <c r="Q1" s="41" t="s">
        <v>15</v>
      </c>
      <c r="R1" s="41" t="s">
        <v>16</v>
      </c>
      <c r="S1" s="41" t="s">
        <v>17</v>
      </c>
      <c r="T1" s="41" t="s">
        <v>18</v>
      </c>
      <c r="U1" s="41" t="s">
        <v>19</v>
      </c>
      <c r="V1" s="41" t="s">
        <v>20</v>
      </c>
      <c r="W1" s="42" t="s">
        <v>21</v>
      </c>
      <c r="X1" s="43" t="s">
        <v>22</v>
      </c>
    </row>
    <row r="2" spans="1:24" ht="15" customHeight="1" x14ac:dyDescent="0.25">
      <c r="B2" s="100">
        <v>1</v>
      </c>
      <c r="C2" s="106" t="s">
        <v>23</v>
      </c>
      <c r="D2" s="10" t="s">
        <v>24</v>
      </c>
      <c r="E2" s="44">
        <v>1</v>
      </c>
      <c r="F2" s="10" t="s">
        <v>25</v>
      </c>
      <c r="G2" s="10">
        <f>4*2</f>
        <v>8</v>
      </c>
      <c r="H2" s="10">
        <f>4*12</f>
        <v>48</v>
      </c>
      <c r="I2" s="10">
        <f>4*9</f>
        <v>36</v>
      </c>
      <c r="J2" s="10">
        <f>4*9</f>
        <v>36</v>
      </c>
      <c r="K2" s="10">
        <f>4*5</f>
        <v>20</v>
      </c>
      <c r="L2" s="10">
        <f>4*9</f>
        <v>36</v>
      </c>
      <c r="M2" s="10">
        <f>4*22</f>
        <v>88</v>
      </c>
      <c r="N2" s="10">
        <f>4*7</f>
        <v>28</v>
      </c>
      <c r="O2" s="10">
        <f>4*15</f>
        <v>60</v>
      </c>
      <c r="P2" s="10">
        <f>4*5</f>
        <v>20</v>
      </c>
      <c r="Q2" s="10">
        <f>4*15</f>
        <v>60</v>
      </c>
      <c r="R2" s="10">
        <f>4*3</f>
        <v>12</v>
      </c>
      <c r="S2" s="10">
        <f>4*3</f>
        <v>12</v>
      </c>
      <c r="T2" s="10">
        <f>4*0</f>
        <v>0</v>
      </c>
      <c r="U2" s="10">
        <f>4*0</f>
        <v>0</v>
      </c>
      <c r="V2" s="10">
        <f>4*0</f>
        <v>0</v>
      </c>
      <c r="W2" s="11">
        <f>SUM(Table1[[#This Row],[7:00-8:00]:[22:00-23:00]])</f>
        <v>464</v>
      </c>
    </row>
    <row r="3" spans="1:24" x14ac:dyDescent="0.25">
      <c r="B3" s="101"/>
      <c r="C3" s="107"/>
      <c r="D3" s="2" t="s">
        <v>26</v>
      </c>
      <c r="E3" s="28">
        <v>2</v>
      </c>
      <c r="F3" s="2" t="s">
        <v>27</v>
      </c>
      <c r="G3" s="2">
        <f>4*2</f>
        <v>8</v>
      </c>
      <c r="H3" s="2">
        <f>4*2</f>
        <v>8</v>
      </c>
      <c r="I3" s="2">
        <f>4*16</f>
        <v>64</v>
      </c>
      <c r="J3" s="2">
        <f>4*6</f>
        <v>24</v>
      </c>
      <c r="K3" s="2">
        <f>4*13</f>
        <v>52</v>
      </c>
      <c r="L3" s="2">
        <f>4*3</f>
        <v>12</v>
      </c>
      <c r="M3" s="2">
        <f>4*18</f>
        <v>72</v>
      </c>
      <c r="N3" s="2">
        <f>4*12</f>
        <v>48</v>
      </c>
      <c r="O3" s="2">
        <f>4*10</f>
        <v>40</v>
      </c>
      <c r="P3" s="2">
        <f>4*18</f>
        <v>72</v>
      </c>
      <c r="Q3" s="2">
        <f>4*19</f>
        <v>76</v>
      </c>
      <c r="R3" s="2">
        <f>4*2</f>
        <v>8</v>
      </c>
      <c r="S3" s="2">
        <v>0</v>
      </c>
      <c r="T3" s="2">
        <f>4*3</f>
        <v>12</v>
      </c>
      <c r="U3" s="2">
        <f>4*3</f>
        <v>12</v>
      </c>
      <c r="V3" s="2">
        <v>0</v>
      </c>
      <c r="W3" s="6">
        <f>SUM(Table1[[#This Row],[7:00-8:00]:[22:00-23:00]])</f>
        <v>508</v>
      </c>
    </row>
    <row r="4" spans="1:24" x14ac:dyDescent="0.25">
      <c r="B4" s="101"/>
      <c r="C4" s="107"/>
      <c r="D4" s="2" t="s">
        <v>28</v>
      </c>
      <c r="E4" s="28">
        <v>3</v>
      </c>
      <c r="F4" s="5" t="s">
        <v>29</v>
      </c>
      <c r="G4" s="2">
        <f>4*6</f>
        <v>24</v>
      </c>
      <c r="H4" s="2">
        <f>4*3</f>
        <v>12</v>
      </c>
      <c r="I4" s="2">
        <f>4*3</f>
        <v>12</v>
      </c>
      <c r="J4" s="2">
        <f>4*12</f>
        <v>48</v>
      </c>
      <c r="K4" s="2">
        <f>4*12</f>
        <v>48</v>
      </c>
      <c r="L4" s="2">
        <f>4*3</f>
        <v>12</v>
      </c>
      <c r="M4" s="2">
        <f>4*18</f>
        <v>72</v>
      </c>
      <c r="N4" s="2">
        <f>4*25</f>
        <v>100</v>
      </c>
      <c r="O4" s="2">
        <f>4*43</f>
        <v>172</v>
      </c>
      <c r="P4" s="2">
        <f>4*30</f>
        <v>120</v>
      </c>
      <c r="Q4" s="2">
        <f>4*9</f>
        <v>36</v>
      </c>
      <c r="R4" s="2">
        <f>4*10</f>
        <v>40</v>
      </c>
      <c r="S4" s="2">
        <f>4*2</f>
        <v>8</v>
      </c>
      <c r="T4" s="2">
        <v>0</v>
      </c>
      <c r="U4" s="2">
        <f>0</f>
        <v>0</v>
      </c>
      <c r="V4" s="2">
        <f>4*2</f>
        <v>8</v>
      </c>
      <c r="W4" s="6">
        <f>SUM(Table1[[#This Row],[7:00-8:00]:[22:00-23:00]])</f>
        <v>712</v>
      </c>
    </row>
    <row r="5" spans="1:24" x14ac:dyDescent="0.25">
      <c r="B5" s="101"/>
      <c r="C5" s="107"/>
      <c r="D5" s="2" t="s">
        <v>30</v>
      </c>
      <c r="E5" s="29">
        <v>4</v>
      </c>
      <c r="F5" s="5" t="s">
        <v>31</v>
      </c>
      <c r="G5" s="2">
        <f>4*3</f>
        <v>12</v>
      </c>
      <c r="H5" s="2">
        <f>4*3</f>
        <v>12</v>
      </c>
      <c r="I5" s="2">
        <f>4*9</f>
        <v>36</v>
      </c>
      <c r="J5" s="2">
        <f>4*5</f>
        <v>20</v>
      </c>
      <c r="K5" s="2">
        <f>4*6</f>
        <v>24</v>
      </c>
      <c r="L5" s="2">
        <f>4*33</f>
        <v>132</v>
      </c>
      <c r="M5" s="2">
        <f>4*3</f>
        <v>12</v>
      </c>
      <c r="N5" s="2">
        <f>4*16</f>
        <v>64</v>
      </c>
      <c r="O5" s="2">
        <f>4*18</f>
        <v>72</v>
      </c>
      <c r="P5" s="2">
        <f>4*7</f>
        <v>28</v>
      </c>
      <c r="Q5" s="2">
        <f>0</f>
        <v>0</v>
      </c>
      <c r="R5" s="2">
        <f>4*6</f>
        <v>24</v>
      </c>
      <c r="S5" s="2">
        <f>4*6</f>
        <v>24</v>
      </c>
      <c r="T5" s="2">
        <v>0</v>
      </c>
      <c r="U5" s="2">
        <f>4*2</f>
        <v>8</v>
      </c>
      <c r="V5" s="2">
        <f>4*15</f>
        <v>60</v>
      </c>
      <c r="W5" s="6">
        <f>SUM(Table1[[#This Row],[7:00-8:00]:[22:00-23:00]])</f>
        <v>528</v>
      </c>
    </row>
    <row r="6" spans="1:24" x14ac:dyDescent="0.25">
      <c r="B6" s="101"/>
      <c r="C6" s="107"/>
      <c r="D6" s="2" t="s">
        <v>32</v>
      </c>
      <c r="E6" s="29">
        <v>5</v>
      </c>
      <c r="F6" s="5" t="s">
        <v>33</v>
      </c>
      <c r="G6" s="2">
        <f>4*45</f>
        <v>180</v>
      </c>
      <c r="H6" s="2">
        <f>4*54</f>
        <v>216</v>
      </c>
      <c r="I6" s="2">
        <f>4*72</f>
        <v>288</v>
      </c>
      <c r="J6" s="2">
        <f>4*102</f>
        <v>408</v>
      </c>
      <c r="K6" s="2">
        <f>4*103</f>
        <v>412</v>
      </c>
      <c r="L6" s="2">
        <f>4*108</f>
        <v>432</v>
      </c>
      <c r="M6" s="2">
        <f>4*126</f>
        <v>504</v>
      </c>
      <c r="N6" s="2">
        <f>4*190</f>
        <v>760</v>
      </c>
      <c r="O6" s="2">
        <f>4*136</f>
        <v>544</v>
      </c>
      <c r="P6" s="2">
        <f>4*97</f>
        <v>388</v>
      </c>
      <c r="Q6" s="2">
        <f>4*93</f>
        <v>372</v>
      </c>
      <c r="R6" s="2">
        <f>4*52</f>
        <v>208</v>
      </c>
      <c r="S6" s="2">
        <f>4*66</f>
        <v>264</v>
      </c>
      <c r="T6" s="2">
        <f>4*16</f>
        <v>64</v>
      </c>
      <c r="U6" s="2">
        <f>4*15</f>
        <v>60</v>
      </c>
      <c r="V6" s="2">
        <f>4*30</f>
        <v>120</v>
      </c>
      <c r="W6" s="6">
        <f>SUM(Table1[[#This Row],[7:00-8:00]:[22:00-23:00]])</f>
        <v>5220</v>
      </c>
    </row>
    <row r="7" spans="1:24" x14ac:dyDescent="0.25">
      <c r="B7" s="101"/>
      <c r="C7" s="107"/>
      <c r="D7" s="2" t="s">
        <v>34</v>
      </c>
      <c r="E7" s="29">
        <v>6</v>
      </c>
      <c r="F7" s="5" t="s">
        <v>35</v>
      </c>
      <c r="G7" s="2">
        <f>4*36</f>
        <v>144</v>
      </c>
      <c r="H7" s="2">
        <f>4*36</f>
        <v>144</v>
      </c>
      <c r="I7" s="2">
        <f>4*64</f>
        <v>256</v>
      </c>
      <c r="J7" s="2">
        <f>4*60</f>
        <v>240</v>
      </c>
      <c r="K7" s="2">
        <f>4*61</f>
        <v>244</v>
      </c>
      <c r="L7" s="2">
        <f>4*94</f>
        <v>376</v>
      </c>
      <c r="M7" s="2">
        <f>4*105</f>
        <v>420</v>
      </c>
      <c r="N7" s="2">
        <f>4*156</f>
        <v>624</v>
      </c>
      <c r="O7" s="2">
        <f>4*55</f>
        <v>220</v>
      </c>
      <c r="P7" s="2">
        <f>4*163</f>
        <v>652</v>
      </c>
      <c r="Q7" s="2">
        <f>4*78</f>
        <v>312</v>
      </c>
      <c r="R7" s="2">
        <f>4*54</f>
        <v>216</v>
      </c>
      <c r="S7" s="2">
        <f>4*39</f>
        <v>156</v>
      </c>
      <c r="T7" s="2">
        <f>4*45</f>
        <v>180</v>
      </c>
      <c r="U7" s="2">
        <f>4*22</f>
        <v>88</v>
      </c>
      <c r="V7" s="2">
        <f>4*31</f>
        <v>124</v>
      </c>
      <c r="W7" s="6">
        <f>SUM(Table1[[#This Row],[7:00-8:00]:[22:00-23:00]])</f>
        <v>4396</v>
      </c>
    </row>
    <row r="8" spans="1:24" x14ac:dyDescent="0.25">
      <c r="B8" s="101"/>
      <c r="C8" s="107"/>
      <c r="D8" s="2"/>
      <c r="E8" s="29"/>
      <c r="F8" s="49" t="s">
        <v>36</v>
      </c>
      <c r="G8" s="69">
        <f>G3+G5</f>
        <v>20</v>
      </c>
      <c r="H8" s="69">
        <f t="shared" ref="H8:V8" si="0">H3+H5</f>
        <v>20</v>
      </c>
      <c r="I8" s="69">
        <f t="shared" si="0"/>
        <v>100</v>
      </c>
      <c r="J8" s="69">
        <f t="shared" si="0"/>
        <v>44</v>
      </c>
      <c r="K8" s="69">
        <f t="shared" si="0"/>
        <v>76</v>
      </c>
      <c r="L8" s="69">
        <f t="shared" si="0"/>
        <v>144</v>
      </c>
      <c r="M8" s="69">
        <f t="shared" si="0"/>
        <v>84</v>
      </c>
      <c r="N8" s="69">
        <f t="shared" si="0"/>
        <v>112</v>
      </c>
      <c r="O8" s="69">
        <f t="shared" si="0"/>
        <v>112</v>
      </c>
      <c r="P8" s="69">
        <f t="shared" si="0"/>
        <v>100</v>
      </c>
      <c r="Q8" s="69">
        <f t="shared" si="0"/>
        <v>76</v>
      </c>
      <c r="R8" s="69">
        <f t="shared" si="0"/>
        <v>32</v>
      </c>
      <c r="S8" s="69">
        <f t="shared" si="0"/>
        <v>24</v>
      </c>
      <c r="T8" s="69">
        <f t="shared" si="0"/>
        <v>12</v>
      </c>
      <c r="U8" s="69">
        <f t="shared" si="0"/>
        <v>20</v>
      </c>
      <c r="V8" s="69">
        <f t="shared" si="0"/>
        <v>60</v>
      </c>
      <c r="W8" s="6">
        <f>SUM(Table1[[#This Row],[7:00-8:00]:[22:00-23:00]])</f>
        <v>1036</v>
      </c>
    </row>
    <row r="9" spans="1:24" x14ac:dyDescent="0.25">
      <c r="B9" s="101"/>
      <c r="C9" s="107"/>
      <c r="D9" s="2"/>
      <c r="E9" s="29"/>
      <c r="F9" s="49" t="s">
        <v>37</v>
      </c>
      <c r="G9" s="69">
        <f>G2+G6</f>
        <v>188</v>
      </c>
      <c r="H9" s="69">
        <f t="shared" ref="H9:V9" si="1">H2+H6</f>
        <v>264</v>
      </c>
      <c r="I9" s="69">
        <f t="shared" si="1"/>
        <v>324</v>
      </c>
      <c r="J9" s="69">
        <f t="shared" si="1"/>
        <v>444</v>
      </c>
      <c r="K9" s="69">
        <f t="shared" si="1"/>
        <v>432</v>
      </c>
      <c r="L9" s="69">
        <f t="shared" si="1"/>
        <v>468</v>
      </c>
      <c r="M9" s="69">
        <f t="shared" si="1"/>
        <v>592</v>
      </c>
      <c r="N9" s="69">
        <f t="shared" si="1"/>
        <v>788</v>
      </c>
      <c r="O9" s="69">
        <f t="shared" si="1"/>
        <v>604</v>
      </c>
      <c r="P9" s="69">
        <f t="shared" si="1"/>
        <v>408</v>
      </c>
      <c r="Q9" s="69">
        <f t="shared" si="1"/>
        <v>432</v>
      </c>
      <c r="R9" s="69">
        <f t="shared" si="1"/>
        <v>220</v>
      </c>
      <c r="S9" s="69">
        <f t="shared" si="1"/>
        <v>276</v>
      </c>
      <c r="T9" s="69">
        <f t="shared" si="1"/>
        <v>64</v>
      </c>
      <c r="U9" s="69">
        <f t="shared" si="1"/>
        <v>60</v>
      </c>
      <c r="V9" s="69">
        <f t="shared" si="1"/>
        <v>120</v>
      </c>
      <c r="W9" s="6">
        <f>SUM(Table1[[#This Row],[7:00-8:00]:[22:00-23:00]])</f>
        <v>5684</v>
      </c>
    </row>
    <row r="10" spans="1:24" x14ac:dyDescent="0.25">
      <c r="B10" s="105"/>
      <c r="C10" s="108"/>
      <c r="D10" s="1"/>
      <c r="E10" s="30"/>
      <c r="F10" s="50" t="s">
        <v>38</v>
      </c>
      <c r="G10" s="51">
        <f>G4+G7</f>
        <v>168</v>
      </c>
      <c r="H10" s="51">
        <f t="shared" ref="H10:V10" si="2">H4+H7</f>
        <v>156</v>
      </c>
      <c r="I10" s="51">
        <f t="shared" si="2"/>
        <v>268</v>
      </c>
      <c r="J10" s="51">
        <f t="shared" si="2"/>
        <v>288</v>
      </c>
      <c r="K10" s="51">
        <f t="shared" si="2"/>
        <v>292</v>
      </c>
      <c r="L10" s="51">
        <f t="shared" si="2"/>
        <v>388</v>
      </c>
      <c r="M10" s="51">
        <f t="shared" si="2"/>
        <v>492</v>
      </c>
      <c r="N10" s="51">
        <f t="shared" si="2"/>
        <v>724</v>
      </c>
      <c r="O10" s="51">
        <f t="shared" si="2"/>
        <v>392</v>
      </c>
      <c r="P10" s="51">
        <f t="shared" si="2"/>
        <v>772</v>
      </c>
      <c r="Q10" s="51">
        <f t="shared" si="2"/>
        <v>348</v>
      </c>
      <c r="R10" s="51">
        <f t="shared" si="2"/>
        <v>256</v>
      </c>
      <c r="S10" s="51">
        <f t="shared" si="2"/>
        <v>164</v>
      </c>
      <c r="T10" s="51">
        <f t="shared" si="2"/>
        <v>180</v>
      </c>
      <c r="U10" s="51">
        <f t="shared" si="2"/>
        <v>88</v>
      </c>
      <c r="V10" s="51">
        <f t="shared" si="2"/>
        <v>132</v>
      </c>
      <c r="W10" s="7">
        <f>SUM(Table1[[#This Row],[7:00-8:00]:[22:00-23:00]])</f>
        <v>5108</v>
      </c>
    </row>
    <row r="11" spans="1:24" x14ac:dyDescent="0.25">
      <c r="A11" s="35"/>
      <c r="B11" s="114">
        <v>2</v>
      </c>
      <c r="C11" s="111" t="s">
        <v>39</v>
      </c>
      <c r="D11" s="9" t="s">
        <v>24</v>
      </c>
      <c r="E11" s="28">
        <v>7</v>
      </c>
      <c r="F11" s="10" t="s">
        <v>40</v>
      </c>
      <c r="G11" s="10">
        <v>0</v>
      </c>
      <c r="H11" s="10">
        <f>4*6</f>
        <v>24</v>
      </c>
      <c r="I11" s="10">
        <f>4*4</f>
        <v>16</v>
      </c>
      <c r="J11" s="10">
        <f>4*5</f>
        <v>20</v>
      </c>
      <c r="K11" s="10">
        <f>4*34</f>
        <v>136</v>
      </c>
      <c r="L11" s="10">
        <f>4*22</f>
        <v>88</v>
      </c>
      <c r="M11" s="10">
        <f>4*21</f>
        <v>84</v>
      </c>
      <c r="N11" s="10">
        <f>4*21</f>
        <v>84</v>
      </c>
      <c r="O11" s="10">
        <f>4*13</f>
        <v>52</v>
      </c>
      <c r="P11" s="10">
        <f>4*10</f>
        <v>40</v>
      </c>
      <c r="Q11" s="10">
        <f>4*39</f>
        <v>156</v>
      </c>
      <c r="R11" s="10">
        <f>4*7</f>
        <v>28</v>
      </c>
      <c r="S11" s="10">
        <f>4*15</f>
        <v>60</v>
      </c>
      <c r="T11" s="10">
        <f>4*3</f>
        <v>12</v>
      </c>
      <c r="U11" s="10">
        <f>4*3</f>
        <v>12</v>
      </c>
      <c r="V11" s="10">
        <f>4*2</f>
        <v>8</v>
      </c>
      <c r="W11" s="11">
        <f>SUM(Table1[[#This Row],[7:00-8:00]:[22:00-23:00]])</f>
        <v>820</v>
      </c>
    </row>
    <row r="12" spans="1:24" x14ac:dyDescent="0.25">
      <c r="A12" s="35"/>
      <c r="B12" s="115"/>
      <c r="C12" s="112"/>
      <c r="D12" s="5" t="s">
        <v>26</v>
      </c>
      <c r="E12" s="28">
        <v>8</v>
      </c>
      <c r="F12" s="5" t="s">
        <v>41</v>
      </c>
      <c r="G12" s="2">
        <f>4*2</f>
        <v>8</v>
      </c>
      <c r="H12" s="2">
        <f>4*4</f>
        <v>16</v>
      </c>
      <c r="I12" s="2">
        <f>4*9</f>
        <v>36</v>
      </c>
      <c r="J12" s="2">
        <f>4*25</f>
        <v>100</v>
      </c>
      <c r="K12" s="2">
        <f>4*39</f>
        <v>156</v>
      </c>
      <c r="L12" s="2">
        <f>4*10</f>
        <v>40</v>
      </c>
      <c r="M12" s="2">
        <f>4*3</f>
        <v>12</v>
      </c>
      <c r="N12" s="2">
        <f>4*12</f>
        <v>48</v>
      </c>
      <c r="O12" s="2">
        <f>4*22</f>
        <v>88</v>
      </c>
      <c r="P12" s="2">
        <f>4*19</f>
        <v>76</v>
      </c>
      <c r="Q12" s="2">
        <f>4*18</f>
        <v>72</v>
      </c>
      <c r="R12" s="2">
        <f>4*12</f>
        <v>48</v>
      </c>
      <c r="S12" s="2">
        <f>4*7</f>
        <v>28</v>
      </c>
      <c r="T12" s="2">
        <f>0</f>
        <v>0</v>
      </c>
      <c r="U12" s="2">
        <f>4*9</f>
        <v>36</v>
      </c>
      <c r="V12" s="2">
        <f>4*2</f>
        <v>8</v>
      </c>
      <c r="W12" s="6">
        <f>SUM(Table1[[#This Row],[7:00-8:00]:[22:00-23:00]])</f>
        <v>772</v>
      </c>
    </row>
    <row r="13" spans="1:24" x14ac:dyDescent="0.25">
      <c r="A13" s="35"/>
      <c r="B13" s="115"/>
      <c r="C13" s="112"/>
      <c r="D13" s="5" t="s">
        <v>28</v>
      </c>
      <c r="E13" s="28">
        <v>9</v>
      </c>
      <c r="F13" s="5" t="s">
        <v>42</v>
      </c>
      <c r="G13" s="2">
        <f>4*10</f>
        <v>40</v>
      </c>
      <c r="H13" s="2">
        <f>4*24</f>
        <v>96</v>
      </c>
      <c r="I13" s="2">
        <f>4*68</f>
        <v>272</v>
      </c>
      <c r="J13" s="2">
        <f>4*121</f>
        <v>484</v>
      </c>
      <c r="K13" s="2">
        <f>4*105</f>
        <v>420</v>
      </c>
      <c r="L13" s="2">
        <f>4*93</f>
        <v>372</v>
      </c>
      <c r="M13" s="2">
        <f>4*63</f>
        <v>252</v>
      </c>
      <c r="N13" s="2">
        <f>4*93</f>
        <v>372</v>
      </c>
      <c r="O13" s="2">
        <f>4*115</f>
        <v>460</v>
      </c>
      <c r="P13" s="2">
        <f>4*58</f>
        <v>232</v>
      </c>
      <c r="Q13" s="2">
        <f>4*123</f>
        <v>492</v>
      </c>
      <c r="R13" s="2">
        <f>4*36</f>
        <v>144</v>
      </c>
      <c r="S13" s="2">
        <f>4*58</f>
        <v>232</v>
      </c>
      <c r="T13" s="2">
        <f>4*60</f>
        <v>240</v>
      </c>
      <c r="U13" s="2">
        <f>4*45</f>
        <v>180</v>
      </c>
      <c r="V13" s="2">
        <f>4*19</f>
        <v>76</v>
      </c>
      <c r="W13" s="6">
        <f>SUM(Table1[[#This Row],[7:00-8:00]:[22:00-23:00]])</f>
        <v>4364</v>
      </c>
    </row>
    <row r="14" spans="1:24" x14ac:dyDescent="0.25">
      <c r="A14" s="35"/>
      <c r="B14" s="115"/>
      <c r="C14" s="112"/>
      <c r="D14" s="5" t="s">
        <v>30</v>
      </c>
      <c r="E14" s="28">
        <v>10</v>
      </c>
      <c r="F14" s="5" t="s">
        <v>43</v>
      </c>
      <c r="G14" s="2">
        <f>4*3</f>
        <v>12</v>
      </c>
      <c r="H14" s="15">
        <f>4*16</f>
        <v>64</v>
      </c>
      <c r="I14" s="2">
        <f>4*65</f>
        <v>260</v>
      </c>
      <c r="J14" s="2">
        <f>4*88</f>
        <v>352</v>
      </c>
      <c r="K14" s="2">
        <f>4*73</f>
        <v>292</v>
      </c>
      <c r="L14" s="2">
        <f>4*99</f>
        <v>396</v>
      </c>
      <c r="M14" s="2">
        <f>4*22</f>
        <v>88</v>
      </c>
      <c r="N14" s="2">
        <f>4*105</f>
        <v>420</v>
      </c>
      <c r="O14" s="2">
        <f>4*136</f>
        <v>544</v>
      </c>
      <c r="P14" s="2">
        <f>4*33</f>
        <v>132</v>
      </c>
      <c r="Q14" s="2">
        <f>4*114</f>
        <v>456</v>
      </c>
      <c r="R14" s="2">
        <f>4*46</f>
        <v>184</v>
      </c>
      <c r="S14" s="2">
        <f>4*40</f>
        <v>160</v>
      </c>
      <c r="T14" s="2">
        <f>4*18</f>
        <v>72</v>
      </c>
      <c r="U14" s="2">
        <f>4*43</f>
        <v>172</v>
      </c>
      <c r="V14" s="2">
        <f>4*30</f>
        <v>120</v>
      </c>
      <c r="W14" s="6">
        <f>SUM(Table1[[#This Row],[7:00-8:00]:[22:00-23:00]])</f>
        <v>3724</v>
      </c>
    </row>
    <row r="15" spans="1:24" x14ac:dyDescent="0.25">
      <c r="A15" s="35"/>
      <c r="B15" s="115"/>
      <c r="C15" s="112"/>
      <c r="D15" s="5"/>
      <c r="E15" s="28"/>
      <c r="F15" s="49" t="s">
        <v>44</v>
      </c>
      <c r="G15" s="69">
        <f>G11</f>
        <v>0</v>
      </c>
      <c r="H15" s="69">
        <f t="shared" ref="H15:V15" si="3">H11</f>
        <v>24</v>
      </c>
      <c r="I15" s="69">
        <f t="shared" si="3"/>
        <v>16</v>
      </c>
      <c r="J15" s="69">
        <f t="shared" si="3"/>
        <v>20</v>
      </c>
      <c r="K15" s="69">
        <f t="shared" si="3"/>
        <v>136</v>
      </c>
      <c r="L15" s="69">
        <f t="shared" si="3"/>
        <v>88</v>
      </c>
      <c r="M15" s="69">
        <f t="shared" si="3"/>
        <v>84</v>
      </c>
      <c r="N15" s="69">
        <f t="shared" si="3"/>
        <v>84</v>
      </c>
      <c r="O15" s="69">
        <f t="shared" si="3"/>
        <v>52</v>
      </c>
      <c r="P15" s="69">
        <f t="shared" si="3"/>
        <v>40</v>
      </c>
      <c r="Q15" s="69">
        <f t="shared" si="3"/>
        <v>156</v>
      </c>
      <c r="R15" s="69">
        <f t="shared" si="3"/>
        <v>28</v>
      </c>
      <c r="S15" s="69">
        <f t="shared" si="3"/>
        <v>60</v>
      </c>
      <c r="T15" s="69">
        <f t="shared" si="3"/>
        <v>12</v>
      </c>
      <c r="U15" s="69">
        <f t="shared" si="3"/>
        <v>12</v>
      </c>
      <c r="V15" s="69">
        <f t="shared" si="3"/>
        <v>8</v>
      </c>
      <c r="W15" s="6">
        <f>SUM(Table1[[#This Row],[7:00-8:00]:[22:00-23:00]])</f>
        <v>820</v>
      </c>
    </row>
    <row r="16" spans="1:24" x14ac:dyDescent="0.25">
      <c r="A16" s="35"/>
      <c r="B16" s="115"/>
      <c r="C16" s="112"/>
      <c r="D16" s="5"/>
      <c r="E16" s="28"/>
      <c r="F16" s="49" t="s">
        <v>45</v>
      </c>
      <c r="G16" s="69">
        <f>G13</f>
        <v>40</v>
      </c>
      <c r="H16" s="69">
        <f t="shared" ref="H16:V16" si="4">H13</f>
        <v>96</v>
      </c>
      <c r="I16" s="69">
        <f t="shared" si="4"/>
        <v>272</v>
      </c>
      <c r="J16" s="69">
        <f t="shared" si="4"/>
        <v>484</v>
      </c>
      <c r="K16" s="69">
        <f t="shared" si="4"/>
        <v>420</v>
      </c>
      <c r="L16" s="69">
        <f t="shared" si="4"/>
        <v>372</v>
      </c>
      <c r="M16" s="69">
        <f t="shared" si="4"/>
        <v>252</v>
      </c>
      <c r="N16" s="69">
        <f t="shared" si="4"/>
        <v>372</v>
      </c>
      <c r="O16" s="69">
        <f t="shared" si="4"/>
        <v>460</v>
      </c>
      <c r="P16" s="69">
        <f t="shared" si="4"/>
        <v>232</v>
      </c>
      <c r="Q16" s="69">
        <f t="shared" si="4"/>
        <v>492</v>
      </c>
      <c r="R16" s="69">
        <f t="shared" si="4"/>
        <v>144</v>
      </c>
      <c r="S16" s="69">
        <f t="shared" si="4"/>
        <v>232</v>
      </c>
      <c r="T16" s="69">
        <f t="shared" si="4"/>
        <v>240</v>
      </c>
      <c r="U16" s="69">
        <f t="shared" si="4"/>
        <v>180</v>
      </c>
      <c r="V16" s="69">
        <f t="shared" si="4"/>
        <v>76</v>
      </c>
      <c r="W16" s="6">
        <f>SUM(Table1[[#This Row],[7:00-8:00]:[22:00-23:00]])</f>
        <v>4364</v>
      </c>
    </row>
    <row r="17" spans="1:23" x14ac:dyDescent="0.25">
      <c r="A17" s="35"/>
      <c r="B17" s="116"/>
      <c r="C17" s="113"/>
      <c r="D17" s="8"/>
      <c r="E17" s="31"/>
      <c r="F17" s="51" t="s">
        <v>46</v>
      </c>
      <c r="G17" s="51">
        <f>G12+G14</f>
        <v>20</v>
      </c>
      <c r="H17" s="51">
        <f t="shared" ref="H17:V17" si="5">H12+H14</f>
        <v>80</v>
      </c>
      <c r="I17" s="51">
        <f t="shared" si="5"/>
        <v>296</v>
      </c>
      <c r="J17" s="51">
        <f t="shared" si="5"/>
        <v>452</v>
      </c>
      <c r="K17" s="51">
        <f t="shared" si="5"/>
        <v>448</v>
      </c>
      <c r="L17" s="51">
        <f t="shared" si="5"/>
        <v>436</v>
      </c>
      <c r="M17" s="51">
        <f t="shared" si="5"/>
        <v>100</v>
      </c>
      <c r="N17" s="51">
        <f t="shared" si="5"/>
        <v>468</v>
      </c>
      <c r="O17" s="51">
        <f t="shared" si="5"/>
        <v>632</v>
      </c>
      <c r="P17" s="51">
        <f t="shared" si="5"/>
        <v>208</v>
      </c>
      <c r="Q17" s="51">
        <f t="shared" si="5"/>
        <v>528</v>
      </c>
      <c r="R17" s="51">
        <f t="shared" si="5"/>
        <v>232</v>
      </c>
      <c r="S17" s="51">
        <f t="shared" si="5"/>
        <v>188</v>
      </c>
      <c r="T17" s="51">
        <f t="shared" si="5"/>
        <v>72</v>
      </c>
      <c r="U17" s="51">
        <f t="shared" si="5"/>
        <v>208</v>
      </c>
      <c r="V17" s="51">
        <f t="shared" si="5"/>
        <v>128</v>
      </c>
      <c r="W17" s="7">
        <f>SUM(Table1[[#This Row],[7:00-8:00]:[22:00-23:00]])</f>
        <v>4496</v>
      </c>
    </row>
    <row r="18" spans="1:23" x14ac:dyDescent="0.25">
      <c r="A18" s="35"/>
      <c r="B18" s="114">
        <v>3</v>
      </c>
      <c r="C18" s="102" t="s">
        <v>47</v>
      </c>
      <c r="D18" s="9" t="s">
        <v>24</v>
      </c>
      <c r="E18" s="28">
        <v>11</v>
      </c>
      <c r="F18" s="2" t="s">
        <v>48</v>
      </c>
      <c r="G18" s="10">
        <f>4*6</f>
        <v>24</v>
      </c>
      <c r="H18" s="10">
        <f>4*3</f>
        <v>12</v>
      </c>
      <c r="I18" s="10">
        <f>6</f>
        <v>6</v>
      </c>
      <c r="J18" s="10">
        <f>10*4</f>
        <v>40</v>
      </c>
      <c r="K18" s="10">
        <f>4*3</f>
        <v>12</v>
      </c>
      <c r="L18" s="10">
        <f>4*2</f>
        <v>8</v>
      </c>
      <c r="M18" s="10">
        <f>4*4</f>
        <v>16</v>
      </c>
      <c r="N18" s="10">
        <f>4*10</f>
        <v>40</v>
      </c>
      <c r="O18" s="10">
        <f>4*7</f>
        <v>28</v>
      </c>
      <c r="P18" s="10">
        <f>4*5</f>
        <v>20</v>
      </c>
      <c r="Q18" s="10">
        <f>4*5</f>
        <v>20</v>
      </c>
      <c r="R18" s="10">
        <f>4*36</f>
        <v>144</v>
      </c>
      <c r="S18" s="10">
        <f>4*10</f>
        <v>40</v>
      </c>
      <c r="T18" s="10">
        <f>4*5</f>
        <v>20</v>
      </c>
      <c r="U18" s="10">
        <f>4*5</f>
        <v>20</v>
      </c>
      <c r="V18" s="10">
        <v>0</v>
      </c>
      <c r="W18" s="11">
        <f>SUM(Table1[[#This Row],[7:00-8:00]:[22:00-23:00]])</f>
        <v>450</v>
      </c>
    </row>
    <row r="19" spans="1:23" x14ac:dyDescent="0.25">
      <c r="A19" s="35"/>
      <c r="B19" s="115"/>
      <c r="C19" s="92"/>
      <c r="D19" s="5" t="s">
        <v>26</v>
      </c>
      <c r="E19" s="28">
        <v>12</v>
      </c>
      <c r="F19" s="2" t="s">
        <v>49</v>
      </c>
      <c r="G19" s="2">
        <v>0</v>
      </c>
      <c r="H19" s="2">
        <v>0</v>
      </c>
      <c r="I19" s="2">
        <v>0</v>
      </c>
      <c r="J19" s="2">
        <f>4*2</f>
        <v>8</v>
      </c>
      <c r="K19" s="2">
        <f>4*1</f>
        <v>4</v>
      </c>
      <c r="L19" s="2">
        <f>4*3</f>
        <v>12</v>
      </c>
      <c r="M19" s="2">
        <f>4*9</f>
        <v>36</v>
      </c>
      <c r="N19" s="2">
        <f>4*18</f>
        <v>72</v>
      </c>
      <c r="O19" s="2">
        <f>4*34</f>
        <v>136</v>
      </c>
      <c r="P19" s="2">
        <f>4*37</f>
        <v>148</v>
      </c>
      <c r="Q19" s="2">
        <f>4*18</f>
        <v>72</v>
      </c>
      <c r="R19" s="2">
        <f>4*31</f>
        <v>124</v>
      </c>
      <c r="S19" s="2">
        <f>4*22</f>
        <v>88</v>
      </c>
      <c r="T19" s="2">
        <f>4*15</f>
        <v>60</v>
      </c>
      <c r="U19" s="2">
        <f>4*10</f>
        <v>40</v>
      </c>
      <c r="V19" s="2">
        <f>4*18</f>
        <v>72</v>
      </c>
      <c r="W19" s="6">
        <f>SUM(Table1[[#This Row],[7:00-8:00]:[22:00-23:00]])</f>
        <v>872</v>
      </c>
    </row>
    <row r="20" spans="1:23" x14ac:dyDescent="0.25">
      <c r="A20" s="35"/>
      <c r="B20" s="115"/>
      <c r="C20" s="92"/>
      <c r="D20" s="5" t="s">
        <v>50</v>
      </c>
      <c r="E20" s="28">
        <v>13</v>
      </c>
      <c r="F20" s="5" t="s">
        <v>51</v>
      </c>
      <c r="G20" s="2">
        <v>0</v>
      </c>
      <c r="H20" s="2">
        <f>4*2</f>
        <v>8</v>
      </c>
      <c r="I20" s="2">
        <v>0</v>
      </c>
      <c r="J20" s="2">
        <f>4*10</f>
        <v>40</v>
      </c>
      <c r="K20" s="2">
        <f>4*10</f>
        <v>40</v>
      </c>
      <c r="L20" s="2">
        <f>4*3</f>
        <v>12</v>
      </c>
      <c r="M20" s="2">
        <f>4*5</f>
        <v>20</v>
      </c>
      <c r="N20" s="2">
        <f>4*3</f>
        <v>12</v>
      </c>
      <c r="O20" s="2">
        <f>4*13</f>
        <v>52</v>
      </c>
      <c r="P20" s="2">
        <f>4*10</f>
        <v>40</v>
      </c>
      <c r="Q20" s="2">
        <f>4*3</f>
        <v>12</v>
      </c>
      <c r="R20" s="2">
        <f>4*6</f>
        <v>24</v>
      </c>
      <c r="S20" s="2">
        <f>4*7</f>
        <v>28</v>
      </c>
      <c r="T20" s="2">
        <f>4*5</f>
        <v>20</v>
      </c>
      <c r="U20" s="2">
        <v>0</v>
      </c>
      <c r="V20" s="2">
        <f>4*2</f>
        <v>8</v>
      </c>
      <c r="W20" s="6">
        <f>SUM(Table1[[#This Row],[7:00-8:00]:[22:00-23:00]])</f>
        <v>316</v>
      </c>
    </row>
    <row r="21" spans="1:23" x14ac:dyDescent="0.25">
      <c r="A21" s="35"/>
      <c r="B21" s="115"/>
      <c r="C21" s="92"/>
      <c r="D21" s="5" t="s">
        <v>52</v>
      </c>
      <c r="E21" s="28">
        <v>14</v>
      </c>
      <c r="F21" s="2" t="s">
        <v>53</v>
      </c>
      <c r="G21" s="2">
        <v>0</v>
      </c>
      <c r="H21" s="2">
        <f>4*6</f>
        <v>24</v>
      </c>
      <c r="I21" s="2">
        <f>4*5</f>
        <v>20</v>
      </c>
      <c r="J21" s="2">
        <f>4*5</f>
        <v>20</v>
      </c>
      <c r="K21" s="2">
        <f>4*7</f>
        <v>28</v>
      </c>
      <c r="L21" s="2">
        <f>4*12</f>
        <v>48</v>
      </c>
      <c r="M21" s="2">
        <f>4*8</f>
        <v>32</v>
      </c>
      <c r="N21" s="2">
        <f>4*9</f>
        <v>36</v>
      </c>
      <c r="O21" s="2">
        <f>4*18</f>
        <v>72</v>
      </c>
      <c r="P21" s="2">
        <f>4*13</f>
        <v>52</v>
      </c>
      <c r="Q21" s="2">
        <f>4*7</f>
        <v>28</v>
      </c>
      <c r="R21" s="2">
        <v>0</v>
      </c>
      <c r="S21" s="2">
        <f>4*10</f>
        <v>40</v>
      </c>
      <c r="T21" s="2">
        <f>4*16</f>
        <v>64</v>
      </c>
      <c r="U21" s="2">
        <v>0</v>
      </c>
      <c r="V21" s="2">
        <v>0</v>
      </c>
      <c r="W21" s="6">
        <f>SUM(Table1[[#This Row],[7:00-8:00]:[22:00-23:00]])</f>
        <v>464</v>
      </c>
    </row>
    <row r="22" spans="1:23" x14ac:dyDescent="0.25">
      <c r="A22" s="35"/>
      <c r="B22" s="115"/>
      <c r="C22" s="92"/>
      <c r="D22" s="5" t="s">
        <v>54</v>
      </c>
      <c r="E22" s="28">
        <v>15</v>
      </c>
      <c r="F22" s="5" t="s">
        <v>55</v>
      </c>
      <c r="G22" s="2">
        <f>4*9</f>
        <v>36</v>
      </c>
      <c r="H22" s="2">
        <f>4*31</f>
        <v>124</v>
      </c>
      <c r="I22" s="2">
        <f>4*81</f>
        <v>324</v>
      </c>
      <c r="J22" s="2">
        <f>4*231</f>
        <v>924</v>
      </c>
      <c r="K22" s="2">
        <f>4*195</f>
        <v>780</v>
      </c>
      <c r="L22" s="2">
        <f>4*345</f>
        <v>1380</v>
      </c>
      <c r="M22" s="2">
        <f>4*351</f>
        <v>1404</v>
      </c>
      <c r="N22" s="2">
        <f>4*357</f>
        <v>1428</v>
      </c>
      <c r="O22" s="2">
        <f>228*4</f>
        <v>912</v>
      </c>
      <c r="P22" s="2">
        <f>4*118</f>
        <v>472</v>
      </c>
      <c r="Q22" s="2">
        <f>4*129</f>
        <v>516</v>
      </c>
      <c r="R22" s="2">
        <f>141*4</f>
        <v>564</v>
      </c>
      <c r="S22" s="2">
        <f>4*78</f>
        <v>312</v>
      </c>
      <c r="T22" s="2">
        <f>4*112</f>
        <v>448</v>
      </c>
      <c r="U22" s="2">
        <f>4*69</f>
        <v>276</v>
      </c>
      <c r="V22" s="2">
        <f>4*24</f>
        <v>96</v>
      </c>
      <c r="W22" s="6">
        <f>SUM(Table1[[#This Row],[7:00-8:00]:[22:00-23:00]])</f>
        <v>9996</v>
      </c>
    </row>
    <row r="23" spans="1:23" x14ac:dyDescent="0.25">
      <c r="A23" s="35"/>
      <c r="B23" s="115"/>
      <c r="C23" s="92"/>
      <c r="D23" s="21" t="s">
        <v>56</v>
      </c>
      <c r="E23" s="28">
        <v>16</v>
      </c>
      <c r="F23" s="5" t="s">
        <v>57</v>
      </c>
      <c r="G23" s="2">
        <f>4*46</f>
        <v>184</v>
      </c>
      <c r="H23" s="15">
        <f>4*94</f>
        <v>376</v>
      </c>
      <c r="I23" s="2">
        <f>4*24</f>
        <v>96</v>
      </c>
      <c r="J23" s="2">
        <f>4*100</f>
        <v>400</v>
      </c>
      <c r="K23" s="2">
        <f>4*195</f>
        <v>780</v>
      </c>
      <c r="L23" s="2">
        <f>4*270</f>
        <v>1080</v>
      </c>
      <c r="M23" s="2">
        <f>226</f>
        <v>226</v>
      </c>
      <c r="N23" s="2">
        <f>4*216</f>
        <v>864</v>
      </c>
      <c r="O23" s="2">
        <f>4*196</f>
        <v>784</v>
      </c>
      <c r="P23" s="2">
        <f>4*348</f>
        <v>1392</v>
      </c>
      <c r="Q23" s="2">
        <f>4*384</f>
        <v>1536</v>
      </c>
      <c r="R23" s="2">
        <f>4*67</f>
        <v>268</v>
      </c>
      <c r="S23" s="2">
        <f>4*46</f>
        <v>184</v>
      </c>
      <c r="T23" s="2">
        <f>4*69</f>
        <v>276</v>
      </c>
      <c r="U23" s="2">
        <f>4*31</f>
        <v>124</v>
      </c>
      <c r="V23" s="2">
        <f>4*18</f>
        <v>72</v>
      </c>
      <c r="W23" s="6">
        <f>SUM(Table1[[#This Row],[7:00-8:00]:[22:00-23:00]])</f>
        <v>8642</v>
      </c>
    </row>
    <row r="24" spans="1:23" x14ac:dyDescent="0.25">
      <c r="A24" s="35"/>
      <c r="B24" s="115"/>
      <c r="C24" s="92"/>
      <c r="D24" s="5"/>
      <c r="E24" s="29"/>
      <c r="F24" s="49" t="s">
        <v>58</v>
      </c>
      <c r="G24" s="69">
        <f>G18+G23</f>
        <v>208</v>
      </c>
      <c r="H24" s="69">
        <f t="shared" ref="H24:V24" si="6">H18+H23</f>
        <v>388</v>
      </c>
      <c r="I24" s="69">
        <f t="shared" si="6"/>
        <v>102</v>
      </c>
      <c r="J24" s="69">
        <f t="shared" si="6"/>
        <v>440</v>
      </c>
      <c r="K24" s="69">
        <f t="shared" si="6"/>
        <v>792</v>
      </c>
      <c r="L24" s="69">
        <f t="shared" si="6"/>
        <v>1088</v>
      </c>
      <c r="M24" s="69">
        <f t="shared" si="6"/>
        <v>242</v>
      </c>
      <c r="N24" s="69">
        <f t="shared" si="6"/>
        <v>904</v>
      </c>
      <c r="O24" s="69">
        <f t="shared" si="6"/>
        <v>812</v>
      </c>
      <c r="P24" s="69">
        <f t="shared" si="6"/>
        <v>1412</v>
      </c>
      <c r="Q24" s="69">
        <f t="shared" si="6"/>
        <v>1556</v>
      </c>
      <c r="R24" s="69">
        <f t="shared" si="6"/>
        <v>412</v>
      </c>
      <c r="S24" s="69">
        <f t="shared" si="6"/>
        <v>224</v>
      </c>
      <c r="T24" s="69">
        <f t="shared" si="6"/>
        <v>296</v>
      </c>
      <c r="U24" s="69">
        <f t="shared" si="6"/>
        <v>144</v>
      </c>
      <c r="V24" s="69">
        <f t="shared" si="6"/>
        <v>72</v>
      </c>
      <c r="W24" s="6">
        <f>SUM(Table1[[#This Row],[7:00-8:00]:[22:00-23:00]])</f>
        <v>9092</v>
      </c>
    </row>
    <row r="25" spans="1:23" x14ac:dyDescent="0.25">
      <c r="A25" s="35"/>
      <c r="B25" s="115"/>
      <c r="C25" s="92"/>
      <c r="D25" s="5"/>
      <c r="E25" s="29"/>
      <c r="F25" s="49" t="s">
        <v>59</v>
      </c>
      <c r="G25" s="69">
        <f>G20+G22</f>
        <v>36</v>
      </c>
      <c r="H25" s="69">
        <f t="shared" ref="H25:V25" si="7">H20+H22</f>
        <v>132</v>
      </c>
      <c r="I25" s="69">
        <f t="shared" si="7"/>
        <v>324</v>
      </c>
      <c r="J25" s="69">
        <f t="shared" si="7"/>
        <v>964</v>
      </c>
      <c r="K25" s="69">
        <f t="shared" si="7"/>
        <v>820</v>
      </c>
      <c r="L25" s="69">
        <f t="shared" si="7"/>
        <v>1392</v>
      </c>
      <c r="M25" s="69">
        <f t="shared" si="7"/>
        <v>1424</v>
      </c>
      <c r="N25" s="69">
        <f t="shared" si="7"/>
        <v>1440</v>
      </c>
      <c r="O25" s="69">
        <f t="shared" si="7"/>
        <v>964</v>
      </c>
      <c r="P25" s="69">
        <f t="shared" si="7"/>
        <v>512</v>
      </c>
      <c r="Q25" s="69">
        <f t="shared" si="7"/>
        <v>528</v>
      </c>
      <c r="R25" s="69">
        <f t="shared" si="7"/>
        <v>588</v>
      </c>
      <c r="S25" s="69">
        <f t="shared" si="7"/>
        <v>340</v>
      </c>
      <c r="T25" s="69">
        <f t="shared" si="7"/>
        <v>468</v>
      </c>
      <c r="U25" s="69">
        <f t="shared" si="7"/>
        <v>276</v>
      </c>
      <c r="V25" s="69">
        <f t="shared" si="7"/>
        <v>104</v>
      </c>
      <c r="W25" s="6">
        <f>SUM(Table1[[#This Row],[7:00-8:00]:[22:00-23:00]])</f>
        <v>10312</v>
      </c>
    </row>
    <row r="26" spans="1:23" x14ac:dyDescent="0.25">
      <c r="A26" s="35"/>
      <c r="B26" s="116"/>
      <c r="C26" s="104"/>
      <c r="D26" s="47"/>
      <c r="E26" s="30"/>
      <c r="F26" s="51" t="s">
        <v>60</v>
      </c>
      <c r="G26" s="51">
        <f>G19+G21</f>
        <v>0</v>
      </c>
      <c r="H26" s="51">
        <f t="shared" ref="H26:V26" si="8">H19+H21</f>
        <v>24</v>
      </c>
      <c r="I26" s="51">
        <f t="shared" si="8"/>
        <v>20</v>
      </c>
      <c r="J26" s="51">
        <f t="shared" si="8"/>
        <v>28</v>
      </c>
      <c r="K26" s="51">
        <f t="shared" si="8"/>
        <v>32</v>
      </c>
      <c r="L26" s="51">
        <f t="shared" si="8"/>
        <v>60</v>
      </c>
      <c r="M26" s="51">
        <f t="shared" si="8"/>
        <v>68</v>
      </c>
      <c r="N26" s="51">
        <f t="shared" si="8"/>
        <v>108</v>
      </c>
      <c r="O26" s="51">
        <f t="shared" si="8"/>
        <v>208</v>
      </c>
      <c r="P26" s="51">
        <f t="shared" si="8"/>
        <v>200</v>
      </c>
      <c r="Q26" s="51">
        <f t="shared" si="8"/>
        <v>100</v>
      </c>
      <c r="R26" s="51">
        <f t="shared" si="8"/>
        <v>124</v>
      </c>
      <c r="S26" s="51">
        <f t="shared" si="8"/>
        <v>128</v>
      </c>
      <c r="T26" s="51">
        <f t="shared" si="8"/>
        <v>124</v>
      </c>
      <c r="U26" s="51">
        <f t="shared" si="8"/>
        <v>40</v>
      </c>
      <c r="V26" s="51">
        <f t="shared" si="8"/>
        <v>72</v>
      </c>
      <c r="W26" s="7">
        <f>SUM(Table1[[#This Row],[7:00-8:00]:[22:00-23:00]])</f>
        <v>1336</v>
      </c>
    </row>
    <row r="27" spans="1:23" s="36" customFormat="1" x14ac:dyDescent="0.25">
      <c r="A27" s="35"/>
      <c r="B27" s="114">
        <v>4</v>
      </c>
      <c r="C27" s="117" t="s">
        <v>61</v>
      </c>
      <c r="D27" s="5" t="s">
        <v>24</v>
      </c>
      <c r="E27" s="29">
        <v>17</v>
      </c>
      <c r="F27" s="5" t="s">
        <v>62</v>
      </c>
      <c r="G27" s="9">
        <f>4*4</f>
        <v>16</v>
      </c>
      <c r="H27" s="9">
        <f>4*21</f>
        <v>84</v>
      </c>
      <c r="I27" s="9">
        <f>4*38</f>
        <v>152</v>
      </c>
      <c r="J27" s="9">
        <f>4*39</f>
        <v>156</v>
      </c>
      <c r="K27" s="9">
        <f>4*64</f>
        <v>256</v>
      </c>
      <c r="L27" s="9">
        <f>4*53</f>
        <v>212</v>
      </c>
      <c r="M27" s="9">
        <f>4*41</f>
        <v>164</v>
      </c>
      <c r="N27" s="9">
        <f>4*43</f>
        <v>172</v>
      </c>
      <c r="O27" s="9">
        <f>4*48</f>
        <v>192</v>
      </c>
      <c r="P27" s="9">
        <f>4*52</f>
        <v>208</v>
      </c>
      <c r="Q27" s="9">
        <f>4*61</f>
        <v>244</v>
      </c>
      <c r="R27" s="9">
        <f>4*48</f>
        <v>192</v>
      </c>
      <c r="S27" s="9">
        <f>4*52</f>
        <v>208</v>
      </c>
      <c r="T27" s="9">
        <f>4*34</f>
        <v>136</v>
      </c>
      <c r="U27" s="9">
        <f>4*39</f>
        <v>156</v>
      </c>
      <c r="V27" s="9">
        <f>4*8</f>
        <v>32</v>
      </c>
      <c r="W27" s="67">
        <f>SUM(Table1[[#This Row],[7:00-8:00]:[22:00-23:00]])</f>
        <v>2580</v>
      </c>
    </row>
    <row r="28" spans="1:23" s="36" customFormat="1" x14ac:dyDescent="0.25">
      <c r="A28" s="35"/>
      <c r="B28" s="115"/>
      <c r="C28" s="94"/>
      <c r="D28" s="5" t="s">
        <v>26</v>
      </c>
      <c r="E28" s="29">
        <v>18</v>
      </c>
      <c r="F28" s="5" t="s">
        <v>63</v>
      </c>
      <c r="G28" s="5">
        <f>4*5</f>
        <v>20</v>
      </c>
      <c r="H28" s="5">
        <f>4*16</f>
        <v>64</v>
      </c>
      <c r="I28" s="5">
        <f>4*31</f>
        <v>124</v>
      </c>
      <c r="J28" s="5">
        <f>4*33</f>
        <v>132</v>
      </c>
      <c r="K28" s="5">
        <f>4*49</f>
        <v>196</v>
      </c>
      <c r="L28" s="5">
        <f>4*55</f>
        <v>220</v>
      </c>
      <c r="M28" s="5">
        <f>4*43</f>
        <v>172</v>
      </c>
      <c r="N28" s="5">
        <f>4*38</f>
        <v>152</v>
      </c>
      <c r="O28" s="5">
        <f>4*44</f>
        <v>176</v>
      </c>
      <c r="P28" s="5">
        <f>4*51</f>
        <v>204</v>
      </c>
      <c r="Q28" s="5">
        <f>4*59</f>
        <v>236</v>
      </c>
      <c r="R28" s="5">
        <f>4*62</f>
        <v>248</v>
      </c>
      <c r="S28" s="5">
        <f>4*61</f>
        <v>244</v>
      </c>
      <c r="T28" s="5">
        <f>4*21</f>
        <v>84</v>
      </c>
      <c r="U28" s="5">
        <f>4*26</f>
        <v>104</v>
      </c>
      <c r="V28" s="5">
        <f>4*9</f>
        <v>36</v>
      </c>
      <c r="W28" s="68">
        <f>SUM(Table1[[#This Row],[7:00-8:00]:[22:00-23:00]])</f>
        <v>2412</v>
      </c>
    </row>
    <row r="29" spans="1:23" s="36" customFormat="1" x14ac:dyDescent="0.25">
      <c r="A29" s="35"/>
      <c r="B29" s="115"/>
      <c r="C29" s="94"/>
      <c r="D29" s="5" t="s">
        <v>28</v>
      </c>
      <c r="E29" s="29">
        <v>19</v>
      </c>
      <c r="F29" s="5" t="s">
        <v>64</v>
      </c>
      <c r="G29" s="5">
        <f>4*9</f>
        <v>36</v>
      </c>
      <c r="H29" s="5">
        <f>4*21</f>
        <v>84</v>
      </c>
      <c r="I29" s="5">
        <f>4*38</f>
        <v>152</v>
      </c>
      <c r="J29" s="5">
        <f>4*68</f>
        <v>272</v>
      </c>
      <c r="K29" s="5">
        <f>4*79</f>
        <v>316</v>
      </c>
      <c r="L29" s="5">
        <f>4*87</f>
        <v>348</v>
      </c>
      <c r="M29" s="5">
        <f>4*69</f>
        <v>276</v>
      </c>
      <c r="N29" s="5">
        <f>4*103</f>
        <v>412</v>
      </c>
      <c r="O29" s="5">
        <f>4*147</f>
        <v>588</v>
      </c>
      <c r="P29" s="5">
        <f>4*187</f>
        <v>748</v>
      </c>
      <c r="Q29" s="5">
        <f>4*169</f>
        <v>676</v>
      </c>
      <c r="R29" s="5">
        <f>4*146</f>
        <v>584</v>
      </c>
      <c r="S29" s="5">
        <f>4*124</f>
        <v>496</v>
      </c>
      <c r="T29" s="5">
        <f>4*78</f>
        <v>312</v>
      </c>
      <c r="U29" s="5">
        <f>4*16</f>
        <v>64</v>
      </c>
      <c r="V29" s="5">
        <f>4*8</f>
        <v>32</v>
      </c>
      <c r="W29" s="68">
        <f>SUM(Table1[[#This Row],[7:00-8:00]:[22:00-23:00]])</f>
        <v>5396</v>
      </c>
    </row>
    <row r="30" spans="1:23" s="36" customFormat="1" x14ac:dyDescent="0.25">
      <c r="A30" s="35"/>
      <c r="B30" s="115"/>
      <c r="C30" s="94"/>
      <c r="D30" s="5" t="s">
        <v>30</v>
      </c>
      <c r="E30" s="29">
        <v>20</v>
      </c>
      <c r="F30" s="5" t="s">
        <v>65</v>
      </c>
      <c r="G30" s="5">
        <f>4*2</f>
        <v>8</v>
      </c>
      <c r="H30" s="33">
        <f>4*15</f>
        <v>60</v>
      </c>
      <c r="I30" s="5">
        <f>4*18</f>
        <v>72</v>
      </c>
      <c r="J30" s="5">
        <f>4*97</f>
        <v>388</v>
      </c>
      <c r="K30" s="5">
        <f>4*157</f>
        <v>628</v>
      </c>
      <c r="L30" s="5">
        <f>4*197</f>
        <v>788</v>
      </c>
      <c r="M30" s="5">
        <f>4*257</f>
        <v>1028</v>
      </c>
      <c r="N30" s="5">
        <f>4*278</f>
        <v>1112</v>
      </c>
      <c r="O30" s="5">
        <f>4*149</f>
        <v>596</v>
      </c>
      <c r="P30" s="5">
        <f>4*213</f>
        <v>852</v>
      </c>
      <c r="Q30" s="5">
        <f>4*243</f>
        <v>972</v>
      </c>
      <c r="R30" s="5">
        <f>4*198</f>
        <v>792</v>
      </c>
      <c r="S30" s="5">
        <f>4*104</f>
        <v>416</v>
      </c>
      <c r="T30" s="5">
        <f>4*86</f>
        <v>344</v>
      </c>
      <c r="U30" s="5">
        <f>4*34</f>
        <v>136</v>
      </c>
      <c r="V30" s="5">
        <f>4*12</f>
        <v>48</v>
      </c>
      <c r="W30" s="68">
        <f>SUM(Table1[[#This Row],[7:00-8:00]:[22:00-23:00]])</f>
        <v>8240</v>
      </c>
    </row>
    <row r="31" spans="1:23" s="36" customFormat="1" x14ac:dyDescent="0.25">
      <c r="A31" s="35"/>
      <c r="B31" s="115"/>
      <c r="C31" s="94"/>
      <c r="D31" s="5" t="s">
        <v>32</v>
      </c>
      <c r="E31" s="29">
        <v>21</v>
      </c>
      <c r="F31" s="5" t="s">
        <v>66</v>
      </c>
      <c r="G31" s="5">
        <f>4*12</f>
        <v>48</v>
      </c>
      <c r="H31" s="33">
        <f>4*51</f>
        <v>204</v>
      </c>
      <c r="I31" s="5">
        <f>4*78</f>
        <v>312</v>
      </c>
      <c r="J31" s="5">
        <f>4*111</f>
        <v>444</v>
      </c>
      <c r="K31" s="5">
        <f>4*127</f>
        <v>508</v>
      </c>
      <c r="L31" s="5">
        <f>4*138</f>
        <v>552</v>
      </c>
      <c r="M31" s="5">
        <f>4*199</f>
        <v>796</v>
      </c>
      <c r="N31" s="5">
        <f>4*214</f>
        <v>856</v>
      </c>
      <c r="O31" s="5">
        <f>4*187</f>
        <v>748</v>
      </c>
      <c r="P31" s="5">
        <f>4*197</f>
        <v>788</v>
      </c>
      <c r="Q31" s="5">
        <f>4*201</f>
        <v>804</v>
      </c>
      <c r="R31" s="5">
        <f>4*199</f>
        <v>796</v>
      </c>
      <c r="S31" s="5">
        <f>4*142</f>
        <v>568</v>
      </c>
      <c r="T31" s="5">
        <f>4*96</f>
        <v>384</v>
      </c>
      <c r="U31" s="5">
        <f>4*61</f>
        <v>244</v>
      </c>
      <c r="V31" s="5">
        <f>4*36</f>
        <v>144</v>
      </c>
      <c r="W31" s="68">
        <f>SUM(Table1[[#This Row],[7:00-8:00]:[22:00-23:00]])</f>
        <v>8196</v>
      </c>
    </row>
    <row r="32" spans="1:23" s="36" customFormat="1" x14ac:dyDescent="0.25">
      <c r="A32" s="35"/>
      <c r="B32" s="115"/>
      <c r="C32" s="94"/>
      <c r="D32" s="5" t="s">
        <v>34</v>
      </c>
      <c r="E32" s="29">
        <v>22</v>
      </c>
      <c r="F32" s="5" t="s">
        <v>67</v>
      </c>
      <c r="G32" s="5">
        <f>4*16</f>
        <v>64</v>
      </c>
      <c r="H32" s="33">
        <f>4*61</f>
        <v>244</v>
      </c>
      <c r="I32" s="5">
        <f>4*87</f>
        <v>348</v>
      </c>
      <c r="J32" s="5">
        <f>4*187</f>
        <v>748</v>
      </c>
      <c r="K32" s="5">
        <f>4*321</f>
        <v>1284</v>
      </c>
      <c r="L32" s="5">
        <f>4*354</f>
        <v>1416</v>
      </c>
      <c r="M32" s="5">
        <f>4*301</f>
        <v>1204</v>
      </c>
      <c r="N32" s="5">
        <f>4*321</f>
        <v>1284</v>
      </c>
      <c r="O32" s="5">
        <f>4*303</f>
        <v>1212</v>
      </c>
      <c r="P32" s="5">
        <f>4*302</f>
        <v>1208</v>
      </c>
      <c r="Q32" s="5">
        <f>4*323</f>
        <v>1292</v>
      </c>
      <c r="R32" s="5">
        <f>4*243</f>
        <v>972</v>
      </c>
      <c r="S32" s="5">
        <f>4*204</f>
        <v>816</v>
      </c>
      <c r="T32" s="5">
        <f>4*125</f>
        <v>500</v>
      </c>
      <c r="U32" s="5">
        <f>4*78</f>
        <v>312</v>
      </c>
      <c r="V32" s="5">
        <f>4*32</f>
        <v>128</v>
      </c>
      <c r="W32" s="68">
        <f>SUM(Table1[[#This Row],[7:00-8:00]:[22:00-23:00]])</f>
        <v>13032</v>
      </c>
    </row>
    <row r="33" spans="1:24" s="36" customFormat="1" x14ac:dyDescent="0.25">
      <c r="A33" s="35"/>
      <c r="B33" s="115"/>
      <c r="C33" s="94"/>
      <c r="D33" s="5"/>
      <c r="E33" s="29"/>
      <c r="F33" s="49" t="s">
        <v>45</v>
      </c>
      <c r="G33" s="49">
        <f>G27+G31</f>
        <v>64</v>
      </c>
      <c r="H33" s="49">
        <f t="shared" ref="H33:V33" si="9">H27+H31</f>
        <v>288</v>
      </c>
      <c r="I33" s="49">
        <f t="shared" si="9"/>
        <v>464</v>
      </c>
      <c r="J33" s="49">
        <f t="shared" si="9"/>
        <v>600</v>
      </c>
      <c r="K33" s="49">
        <f t="shared" si="9"/>
        <v>764</v>
      </c>
      <c r="L33" s="49">
        <f t="shared" si="9"/>
        <v>764</v>
      </c>
      <c r="M33" s="49">
        <f t="shared" si="9"/>
        <v>960</v>
      </c>
      <c r="N33" s="49">
        <f t="shared" si="9"/>
        <v>1028</v>
      </c>
      <c r="O33" s="49">
        <f t="shared" si="9"/>
        <v>940</v>
      </c>
      <c r="P33" s="49">
        <f t="shared" si="9"/>
        <v>996</v>
      </c>
      <c r="Q33" s="49">
        <f t="shared" si="9"/>
        <v>1048</v>
      </c>
      <c r="R33" s="49">
        <f t="shared" si="9"/>
        <v>988</v>
      </c>
      <c r="S33" s="49">
        <f t="shared" si="9"/>
        <v>776</v>
      </c>
      <c r="T33" s="49">
        <f t="shared" si="9"/>
        <v>520</v>
      </c>
      <c r="U33" s="49">
        <f t="shared" si="9"/>
        <v>400</v>
      </c>
      <c r="V33" s="49">
        <f t="shared" si="9"/>
        <v>176</v>
      </c>
      <c r="W33" s="68">
        <f>SUM(Table1[[#This Row],[7:00-8:00]:[22:00-23:00]])</f>
        <v>10776</v>
      </c>
    </row>
    <row r="34" spans="1:24" s="36" customFormat="1" x14ac:dyDescent="0.25">
      <c r="A34" s="35"/>
      <c r="B34" s="115"/>
      <c r="C34" s="94"/>
      <c r="D34" s="5"/>
      <c r="E34" s="29"/>
      <c r="F34" s="49" t="s">
        <v>68</v>
      </c>
      <c r="G34" s="49">
        <f>G28+G30</f>
        <v>28</v>
      </c>
      <c r="H34" s="49">
        <f t="shared" ref="H34:V34" si="10">H28+H30</f>
        <v>124</v>
      </c>
      <c r="I34" s="49">
        <f t="shared" si="10"/>
        <v>196</v>
      </c>
      <c r="J34" s="49">
        <f t="shared" si="10"/>
        <v>520</v>
      </c>
      <c r="K34" s="49">
        <f t="shared" si="10"/>
        <v>824</v>
      </c>
      <c r="L34" s="49">
        <f t="shared" si="10"/>
        <v>1008</v>
      </c>
      <c r="M34" s="49">
        <f t="shared" si="10"/>
        <v>1200</v>
      </c>
      <c r="N34" s="49">
        <f t="shared" si="10"/>
        <v>1264</v>
      </c>
      <c r="O34" s="49">
        <f t="shared" si="10"/>
        <v>772</v>
      </c>
      <c r="P34" s="49">
        <f t="shared" si="10"/>
        <v>1056</v>
      </c>
      <c r="Q34" s="49">
        <f t="shared" si="10"/>
        <v>1208</v>
      </c>
      <c r="R34" s="49">
        <f t="shared" si="10"/>
        <v>1040</v>
      </c>
      <c r="S34" s="49">
        <f t="shared" si="10"/>
        <v>660</v>
      </c>
      <c r="T34" s="49">
        <f t="shared" si="10"/>
        <v>428</v>
      </c>
      <c r="U34" s="49">
        <f t="shared" si="10"/>
        <v>240</v>
      </c>
      <c r="V34" s="49">
        <f t="shared" si="10"/>
        <v>84</v>
      </c>
      <c r="W34" s="68">
        <f>SUM(Table1[[#This Row],[7:00-8:00]:[22:00-23:00]])</f>
        <v>10652</v>
      </c>
    </row>
    <row r="35" spans="1:24" s="36" customFormat="1" x14ac:dyDescent="0.25">
      <c r="A35" s="35"/>
      <c r="B35" s="116"/>
      <c r="C35" s="118"/>
      <c r="D35" s="8"/>
      <c r="E35" s="31"/>
      <c r="F35" s="50" t="s">
        <v>69</v>
      </c>
      <c r="G35" s="50">
        <f>G29+G32</f>
        <v>100</v>
      </c>
      <c r="H35" s="50">
        <f t="shared" ref="H35:V35" si="11">H29+H32</f>
        <v>328</v>
      </c>
      <c r="I35" s="50">
        <f t="shared" si="11"/>
        <v>500</v>
      </c>
      <c r="J35" s="50">
        <f t="shared" si="11"/>
        <v>1020</v>
      </c>
      <c r="K35" s="50">
        <f t="shared" si="11"/>
        <v>1600</v>
      </c>
      <c r="L35" s="50">
        <f t="shared" si="11"/>
        <v>1764</v>
      </c>
      <c r="M35" s="50">
        <f t="shared" si="11"/>
        <v>1480</v>
      </c>
      <c r="N35" s="50">
        <f t="shared" si="11"/>
        <v>1696</v>
      </c>
      <c r="O35" s="50">
        <f t="shared" si="11"/>
        <v>1800</v>
      </c>
      <c r="P35" s="50">
        <f t="shared" si="11"/>
        <v>1956</v>
      </c>
      <c r="Q35" s="50">
        <f t="shared" si="11"/>
        <v>1968</v>
      </c>
      <c r="R35" s="50">
        <f t="shared" si="11"/>
        <v>1556</v>
      </c>
      <c r="S35" s="50">
        <f t="shared" si="11"/>
        <v>1312</v>
      </c>
      <c r="T35" s="50">
        <f t="shared" si="11"/>
        <v>812</v>
      </c>
      <c r="U35" s="50">
        <f t="shared" si="11"/>
        <v>376</v>
      </c>
      <c r="V35" s="50">
        <f t="shared" si="11"/>
        <v>160</v>
      </c>
      <c r="W35" s="72">
        <f>SUM(Table1[[#This Row],[7:00-8:00]:[22:00-23:00]])</f>
        <v>18428</v>
      </c>
    </row>
    <row r="36" spans="1:24" x14ac:dyDescent="0.25">
      <c r="A36" s="35"/>
      <c r="B36" s="114">
        <v>5</v>
      </c>
      <c r="C36" s="102" t="s">
        <v>70</v>
      </c>
      <c r="D36" s="9" t="s">
        <v>24</v>
      </c>
      <c r="E36" s="28">
        <v>23</v>
      </c>
      <c r="F36" s="9" t="s">
        <v>71</v>
      </c>
      <c r="G36" s="10">
        <f>4*5</f>
        <v>20</v>
      </c>
      <c r="H36" s="10">
        <f>4*2</f>
        <v>8</v>
      </c>
      <c r="I36" s="10">
        <f>4*3</f>
        <v>12</v>
      </c>
      <c r="J36" s="10">
        <f>4*12</f>
        <v>48</v>
      </c>
      <c r="K36" s="10">
        <f>0</f>
        <v>0</v>
      </c>
      <c r="L36" s="10">
        <f>4*10</f>
        <v>40</v>
      </c>
      <c r="M36" s="10">
        <f>4*7</f>
        <v>28</v>
      </c>
      <c r="N36" s="10">
        <f>4*6</f>
        <v>24</v>
      </c>
      <c r="O36" s="10">
        <f>4*36</f>
        <v>144</v>
      </c>
      <c r="P36" s="10">
        <f>4*3</f>
        <v>12</v>
      </c>
      <c r="Q36" s="10">
        <f>4*10</f>
        <v>40</v>
      </c>
      <c r="R36" s="10">
        <f>4*2</f>
        <v>8</v>
      </c>
      <c r="S36" s="10">
        <v>0</v>
      </c>
      <c r="T36" s="10">
        <f>4*2</f>
        <v>8</v>
      </c>
      <c r="U36" s="10">
        <f>4*9</f>
        <v>36</v>
      </c>
      <c r="V36" s="10">
        <f>4*2</f>
        <v>8</v>
      </c>
      <c r="W36" s="11">
        <f>SUM(Table1[[#This Row],[7:00-8:00]:[22:00-23:00]])</f>
        <v>436</v>
      </c>
    </row>
    <row r="37" spans="1:24" x14ac:dyDescent="0.25">
      <c r="A37" s="35"/>
      <c r="B37" s="115"/>
      <c r="C37" s="92"/>
      <c r="D37" s="5" t="s">
        <v>26</v>
      </c>
      <c r="E37" s="29">
        <v>24</v>
      </c>
      <c r="F37" s="5" t="s">
        <v>72</v>
      </c>
      <c r="G37" s="2">
        <v>0</v>
      </c>
      <c r="H37" s="2">
        <v>0</v>
      </c>
      <c r="I37" s="2">
        <v>0</v>
      </c>
      <c r="J37" s="2">
        <f>4*13</f>
        <v>52</v>
      </c>
      <c r="K37" s="2">
        <f>4*7</f>
        <v>28</v>
      </c>
      <c r="L37" s="2">
        <f>4*3</f>
        <v>12</v>
      </c>
      <c r="M37" s="2">
        <f>4*6</f>
        <v>24</v>
      </c>
      <c r="N37" s="2">
        <f>4*15</f>
        <v>60</v>
      </c>
      <c r="O37" s="2">
        <v>0</v>
      </c>
      <c r="P37" s="2">
        <f>4*9</f>
        <v>36</v>
      </c>
      <c r="Q37" s="2">
        <f>4*9</f>
        <v>36</v>
      </c>
      <c r="R37" s="2">
        <f>4*22</f>
        <v>88</v>
      </c>
      <c r="S37" s="2">
        <f>4*9</f>
        <v>36</v>
      </c>
      <c r="T37" s="2">
        <v>0</v>
      </c>
      <c r="U37" s="2">
        <f>4*3</f>
        <v>12</v>
      </c>
      <c r="V37" s="2">
        <f>4*22</f>
        <v>88</v>
      </c>
      <c r="W37" s="6">
        <f>SUM(Table1[[#This Row],[7:00-8:00]:[22:00-23:00]])</f>
        <v>472</v>
      </c>
    </row>
    <row r="38" spans="1:24" x14ac:dyDescent="0.25">
      <c r="A38" s="35"/>
      <c r="B38" s="115"/>
      <c r="C38" s="92"/>
      <c r="D38" s="5" t="s">
        <v>28</v>
      </c>
      <c r="E38" s="28">
        <v>25</v>
      </c>
      <c r="F38" s="5" t="s">
        <v>73</v>
      </c>
      <c r="G38" s="2">
        <f>4*5</f>
        <v>20</v>
      </c>
      <c r="H38" s="2">
        <f>4*3</f>
        <v>12</v>
      </c>
      <c r="I38" s="2">
        <v>0</v>
      </c>
      <c r="J38" s="2">
        <v>0</v>
      </c>
      <c r="K38" s="2">
        <f>4*3</f>
        <v>12</v>
      </c>
      <c r="L38" s="2">
        <v>0</v>
      </c>
      <c r="M38" s="2">
        <f>4*10</f>
        <v>40</v>
      </c>
      <c r="N38" s="2">
        <f>4*5</f>
        <v>20</v>
      </c>
      <c r="O38" s="2">
        <f>4*10</f>
        <v>40</v>
      </c>
      <c r="P38" s="2">
        <f>4*9</f>
        <v>36</v>
      </c>
      <c r="Q38" s="2">
        <f>0</f>
        <v>0</v>
      </c>
      <c r="R38" s="2">
        <f>4*24</f>
        <v>96</v>
      </c>
      <c r="S38" s="2">
        <f>4*13</f>
        <v>52</v>
      </c>
      <c r="T38" s="2">
        <f>4*18</f>
        <v>72</v>
      </c>
      <c r="U38" s="2">
        <v>0</v>
      </c>
      <c r="V38" s="2">
        <f>4*24</f>
        <v>96</v>
      </c>
      <c r="W38" s="6">
        <f>SUM(Table1[[#This Row],[7:00-8:00]:[22:00-23:00]])</f>
        <v>496</v>
      </c>
    </row>
    <row r="39" spans="1:24" x14ac:dyDescent="0.25">
      <c r="A39" s="35"/>
      <c r="B39" s="115"/>
      <c r="C39" s="92"/>
      <c r="D39" s="5" t="s">
        <v>30</v>
      </c>
      <c r="E39" s="28">
        <v>26</v>
      </c>
      <c r="F39" s="2" t="s">
        <v>74</v>
      </c>
      <c r="G39" s="2">
        <f>4*5</f>
        <v>20</v>
      </c>
      <c r="H39" s="2">
        <v>0</v>
      </c>
      <c r="I39" s="2">
        <f>4*6</f>
        <v>24</v>
      </c>
      <c r="J39" s="2">
        <f>4*3</f>
        <v>12</v>
      </c>
      <c r="K39" s="2">
        <f>4*3</f>
        <v>12</v>
      </c>
      <c r="L39" s="2">
        <f>4*6</f>
        <v>24</v>
      </c>
      <c r="M39" s="2">
        <v>0</v>
      </c>
      <c r="N39" s="2">
        <f>4*3</f>
        <v>12</v>
      </c>
      <c r="O39" s="2">
        <f>4*15</f>
        <v>60</v>
      </c>
      <c r="P39" s="2">
        <f>4*3</f>
        <v>12</v>
      </c>
      <c r="Q39" s="2">
        <f>4*2</f>
        <v>8</v>
      </c>
      <c r="R39" s="2">
        <f>4*2</f>
        <v>8</v>
      </c>
      <c r="S39" s="2">
        <f>4*18</f>
        <v>72</v>
      </c>
      <c r="T39" s="2">
        <f>4*16</f>
        <v>64</v>
      </c>
      <c r="U39" s="2">
        <f>4*19</f>
        <v>76</v>
      </c>
      <c r="V39" s="2">
        <v>0</v>
      </c>
      <c r="W39" s="6">
        <f>SUM(Table1[[#This Row],[7:00-8:00]:[22:00-23:00]])</f>
        <v>404</v>
      </c>
    </row>
    <row r="40" spans="1:24" x14ac:dyDescent="0.25">
      <c r="A40" s="35"/>
      <c r="B40" s="115"/>
      <c r="C40" s="92"/>
      <c r="D40" s="5" t="s">
        <v>32</v>
      </c>
      <c r="E40" s="28">
        <v>27</v>
      </c>
      <c r="F40" s="5" t="s">
        <v>75</v>
      </c>
      <c r="G40" s="2">
        <f>4*25</f>
        <v>100</v>
      </c>
      <c r="H40" s="2">
        <f>4*52</f>
        <v>208</v>
      </c>
      <c r="I40" s="2">
        <f>4*73</f>
        <v>292</v>
      </c>
      <c r="J40" s="2">
        <f>4*108</f>
        <v>432</v>
      </c>
      <c r="K40" s="2">
        <f>4*114</f>
        <v>456</v>
      </c>
      <c r="L40" s="2">
        <f>4*111</f>
        <v>444</v>
      </c>
      <c r="M40" s="2">
        <f>4*213</f>
        <v>852</v>
      </c>
      <c r="N40" s="2">
        <f>4*240</f>
        <v>960</v>
      </c>
      <c r="O40" s="2">
        <f>4*225</f>
        <v>900</v>
      </c>
      <c r="P40" s="2">
        <f>4*109</f>
        <v>436</v>
      </c>
      <c r="Q40" s="2">
        <f>4*129</f>
        <v>516</v>
      </c>
      <c r="R40" s="2">
        <f>4*112</f>
        <v>448</v>
      </c>
      <c r="S40" s="2">
        <f>4*96</f>
        <v>384</v>
      </c>
      <c r="T40" s="2">
        <f>4*163</f>
        <v>652</v>
      </c>
      <c r="U40" s="2">
        <f>4*48</f>
        <v>192</v>
      </c>
      <c r="V40" s="2">
        <f>4*30</f>
        <v>120</v>
      </c>
      <c r="W40" s="6">
        <f>SUM(Table1[[#This Row],[7:00-8:00]:[22:00-23:00]])</f>
        <v>7392</v>
      </c>
    </row>
    <row r="41" spans="1:24" x14ac:dyDescent="0.25">
      <c r="A41" s="35"/>
      <c r="B41" s="115"/>
      <c r="C41" s="92"/>
      <c r="D41" s="5" t="s">
        <v>34</v>
      </c>
      <c r="E41" s="28">
        <v>28</v>
      </c>
      <c r="F41" s="5" t="s">
        <v>76</v>
      </c>
      <c r="G41" s="2">
        <f>4*49</f>
        <v>196</v>
      </c>
      <c r="H41" s="15">
        <f>4*33</f>
        <v>132</v>
      </c>
      <c r="I41" s="2">
        <f>4*78</f>
        <v>312</v>
      </c>
      <c r="J41" s="2">
        <f>4*76</f>
        <v>304</v>
      </c>
      <c r="K41" s="2">
        <f>4*76</f>
        <v>304</v>
      </c>
      <c r="L41" s="2">
        <f>4*84</f>
        <v>336</v>
      </c>
      <c r="M41" s="2">
        <f>4*136</f>
        <v>544</v>
      </c>
      <c r="N41" s="2">
        <f>4*244</f>
        <v>976</v>
      </c>
      <c r="O41" s="2">
        <f>4*144</f>
        <v>576</v>
      </c>
      <c r="P41" s="2">
        <f>4*180</f>
        <v>720</v>
      </c>
      <c r="Q41" s="2">
        <f>4*88</f>
        <v>352</v>
      </c>
      <c r="R41" s="2">
        <f>4*90</f>
        <v>360</v>
      </c>
      <c r="S41" s="2">
        <f>4*100</f>
        <v>400</v>
      </c>
      <c r="T41" s="2">
        <f>4*42</f>
        <v>168</v>
      </c>
      <c r="U41" s="2">
        <f>4*78</f>
        <v>312</v>
      </c>
      <c r="V41" s="2">
        <f>4*27</f>
        <v>108</v>
      </c>
      <c r="W41" s="6">
        <f>SUM(Table1[[#This Row],[7:00-8:00]:[22:00-23:00]])</f>
        <v>6100</v>
      </c>
    </row>
    <row r="42" spans="1:24" x14ac:dyDescent="0.25">
      <c r="A42" s="35"/>
      <c r="B42" s="115"/>
      <c r="C42" s="92"/>
      <c r="D42" s="5"/>
      <c r="E42" s="28"/>
      <c r="F42" s="49" t="s">
        <v>77</v>
      </c>
      <c r="G42" s="69">
        <f>G37+G39</f>
        <v>20</v>
      </c>
      <c r="H42" s="69">
        <f t="shared" ref="H42:V42" si="12">H37+H39</f>
        <v>0</v>
      </c>
      <c r="I42" s="69">
        <f t="shared" si="12"/>
        <v>24</v>
      </c>
      <c r="J42" s="69">
        <f t="shared" si="12"/>
        <v>64</v>
      </c>
      <c r="K42" s="69">
        <f t="shared" si="12"/>
        <v>40</v>
      </c>
      <c r="L42" s="69">
        <f t="shared" si="12"/>
        <v>36</v>
      </c>
      <c r="M42" s="69">
        <f t="shared" si="12"/>
        <v>24</v>
      </c>
      <c r="N42" s="69">
        <f t="shared" si="12"/>
        <v>72</v>
      </c>
      <c r="O42" s="69">
        <f t="shared" si="12"/>
        <v>60</v>
      </c>
      <c r="P42" s="69">
        <f t="shared" si="12"/>
        <v>48</v>
      </c>
      <c r="Q42" s="69">
        <f t="shared" si="12"/>
        <v>44</v>
      </c>
      <c r="R42" s="69">
        <f t="shared" si="12"/>
        <v>96</v>
      </c>
      <c r="S42" s="69">
        <f t="shared" si="12"/>
        <v>108</v>
      </c>
      <c r="T42" s="69">
        <f t="shared" si="12"/>
        <v>64</v>
      </c>
      <c r="U42" s="69">
        <f t="shared" si="12"/>
        <v>88</v>
      </c>
      <c r="V42" s="69">
        <f t="shared" si="12"/>
        <v>88</v>
      </c>
      <c r="W42" s="6">
        <f>SUM(Table1[[#This Row],[7:00-8:00]:[22:00-23:00]])</f>
        <v>876</v>
      </c>
    </row>
    <row r="43" spans="1:24" x14ac:dyDescent="0.25">
      <c r="A43" s="35"/>
      <c r="B43" s="115"/>
      <c r="C43" s="92"/>
      <c r="D43" s="5"/>
      <c r="E43" s="28"/>
      <c r="F43" s="49" t="s">
        <v>78</v>
      </c>
      <c r="G43" s="69">
        <f>G38+G41</f>
        <v>216</v>
      </c>
      <c r="H43" s="69">
        <f t="shared" ref="H43:V43" si="13">H38+H41</f>
        <v>144</v>
      </c>
      <c r="I43" s="69">
        <f t="shared" si="13"/>
        <v>312</v>
      </c>
      <c r="J43" s="69">
        <f t="shared" si="13"/>
        <v>304</v>
      </c>
      <c r="K43" s="69">
        <f t="shared" si="13"/>
        <v>316</v>
      </c>
      <c r="L43" s="69">
        <f t="shared" si="13"/>
        <v>336</v>
      </c>
      <c r="M43" s="69">
        <f t="shared" si="13"/>
        <v>584</v>
      </c>
      <c r="N43" s="69">
        <f t="shared" si="13"/>
        <v>996</v>
      </c>
      <c r="O43" s="69">
        <f t="shared" si="13"/>
        <v>616</v>
      </c>
      <c r="P43" s="69">
        <f t="shared" si="13"/>
        <v>756</v>
      </c>
      <c r="Q43" s="69">
        <f t="shared" si="13"/>
        <v>352</v>
      </c>
      <c r="R43" s="69">
        <f t="shared" si="13"/>
        <v>456</v>
      </c>
      <c r="S43" s="69">
        <f t="shared" si="13"/>
        <v>452</v>
      </c>
      <c r="T43" s="69">
        <f t="shared" si="13"/>
        <v>240</v>
      </c>
      <c r="U43" s="69">
        <f t="shared" si="13"/>
        <v>312</v>
      </c>
      <c r="V43" s="69">
        <f t="shared" si="13"/>
        <v>204</v>
      </c>
      <c r="W43" s="6">
        <f>SUM(Table1[[#This Row],[7:00-8:00]:[22:00-23:00]])</f>
        <v>6596</v>
      </c>
    </row>
    <row r="44" spans="1:24" x14ac:dyDescent="0.25">
      <c r="A44" s="35"/>
      <c r="B44" s="116"/>
      <c r="C44" s="104"/>
      <c r="D44" s="8"/>
      <c r="E44" s="31"/>
      <c r="F44" s="50" t="s">
        <v>79</v>
      </c>
      <c r="G44" s="51">
        <f>G36+G40</f>
        <v>120</v>
      </c>
      <c r="H44" s="51">
        <f t="shared" ref="H44:V44" si="14">H36+H40</f>
        <v>216</v>
      </c>
      <c r="I44" s="51">
        <f t="shared" si="14"/>
        <v>304</v>
      </c>
      <c r="J44" s="51">
        <f t="shared" si="14"/>
        <v>480</v>
      </c>
      <c r="K44" s="51">
        <f t="shared" si="14"/>
        <v>456</v>
      </c>
      <c r="L44" s="51">
        <f t="shared" si="14"/>
        <v>484</v>
      </c>
      <c r="M44" s="51">
        <f t="shared" si="14"/>
        <v>880</v>
      </c>
      <c r="N44" s="51">
        <f t="shared" si="14"/>
        <v>984</v>
      </c>
      <c r="O44" s="51">
        <f t="shared" si="14"/>
        <v>1044</v>
      </c>
      <c r="P44" s="51">
        <f t="shared" si="14"/>
        <v>448</v>
      </c>
      <c r="Q44" s="51">
        <f t="shared" si="14"/>
        <v>556</v>
      </c>
      <c r="R44" s="51">
        <f t="shared" si="14"/>
        <v>456</v>
      </c>
      <c r="S44" s="51">
        <f t="shared" si="14"/>
        <v>384</v>
      </c>
      <c r="T44" s="51">
        <f t="shared" si="14"/>
        <v>660</v>
      </c>
      <c r="U44" s="51">
        <f t="shared" si="14"/>
        <v>228</v>
      </c>
      <c r="V44" s="51">
        <f t="shared" si="14"/>
        <v>128</v>
      </c>
      <c r="W44" s="7">
        <f>SUM(Table1[[#This Row],[7:00-8:00]:[22:00-23:00]])</f>
        <v>7828</v>
      </c>
    </row>
    <row r="45" spans="1:24" x14ac:dyDescent="0.25">
      <c r="A45" s="2"/>
      <c r="B45" s="100">
        <v>6</v>
      </c>
      <c r="C45" s="117" t="s">
        <v>80</v>
      </c>
      <c r="D45" s="5" t="s">
        <v>24</v>
      </c>
      <c r="E45" s="29">
        <v>29</v>
      </c>
      <c r="F45" s="5" t="s">
        <v>81</v>
      </c>
      <c r="G45" s="5">
        <f>4*6</f>
        <v>24</v>
      </c>
      <c r="H45" s="5">
        <f>4*5</f>
        <v>20</v>
      </c>
      <c r="I45" s="5">
        <f>4*16</f>
        <v>64</v>
      </c>
      <c r="J45" s="5">
        <f>4*30</f>
        <v>120</v>
      </c>
      <c r="K45" s="5">
        <f>4*39</f>
        <v>156</v>
      </c>
      <c r="L45" s="5">
        <f>4 *40</f>
        <v>160</v>
      </c>
      <c r="M45" s="5">
        <f>4*16</f>
        <v>64</v>
      </c>
      <c r="N45" s="5">
        <f>4*25</f>
        <v>100</v>
      </c>
      <c r="O45" s="5">
        <f>4*21</f>
        <v>84</v>
      </c>
      <c r="P45" s="5">
        <f>4*30</f>
        <v>120</v>
      </c>
      <c r="Q45" s="5">
        <f>4*22</f>
        <v>88</v>
      </c>
      <c r="R45" s="5">
        <f>4*7</f>
        <v>28</v>
      </c>
      <c r="S45" s="5">
        <f>4*12</f>
        <v>48</v>
      </c>
      <c r="T45" s="5">
        <f>4*9</f>
        <v>36</v>
      </c>
      <c r="U45" s="5">
        <f>4*8</f>
        <v>32</v>
      </c>
      <c r="V45" s="5">
        <f>4*5</f>
        <v>20</v>
      </c>
      <c r="W45" s="68">
        <f>SUM(Table1[[#This Row],[7:00-8:00]:[22:00-23:00]])</f>
        <v>1164</v>
      </c>
      <c r="X45" s="36"/>
    </row>
    <row r="46" spans="1:24" x14ac:dyDescent="0.25">
      <c r="A46" s="2"/>
      <c r="B46" s="101"/>
      <c r="C46" s="94"/>
      <c r="D46" s="5" t="s">
        <v>26</v>
      </c>
      <c r="E46" s="29">
        <v>30</v>
      </c>
      <c r="F46" s="5" t="s">
        <v>82</v>
      </c>
      <c r="G46" s="5">
        <f>4*4</f>
        <v>16</v>
      </c>
      <c r="H46" s="5">
        <f>4*6</f>
        <v>24</v>
      </c>
      <c r="I46" s="5">
        <f>4*13</f>
        <v>52</v>
      </c>
      <c r="J46" s="5">
        <f>4*25</f>
        <v>100</v>
      </c>
      <c r="K46" s="5">
        <f>4*30</f>
        <v>120</v>
      </c>
      <c r="L46" s="5">
        <f>4*21</f>
        <v>84</v>
      </c>
      <c r="M46" s="5">
        <f>4*19</f>
        <v>76</v>
      </c>
      <c r="N46" s="5">
        <f>4*24</f>
        <v>96</v>
      </c>
      <c r="O46" s="5">
        <f>4*22</f>
        <v>88</v>
      </c>
      <c r="P46" s="5">
        <f>4*25</f>
        <v>100</v>
      </c>
      <c r="Q46" s="5">
        <f>4*19</f>
        <v>76</v>
      </c>
      <c r="R46" s="5">
        <f>4*8</f>
        <v>32</v>
      </c>
      <c r="S46" s="5">
        <f>4*8</f>
        <v>32</v>
      </c>
      <c r="T46" s="5">
        <f>4*6</f>
        <v>24</v>
      </c>
      <c r="U46" s="5">
        <f>4*7</f>
        <v>28</v>
      </c>
      <c r="V46" s="5">
        <f>4*3</f>
        <v>12</v>
      </c>
      <c r="W46" s="68">
        <f>SUM(Table1[[#This Row],[7:00-8:00]:[22:00-23:00]])</f>
        <v>960</v>
      </c>
      <c r="X46" s="36"/>
    </row>
    <row r="47" spans="1:24" x14ac:dyDescent="0.25">
      <c r="A47" s="2"/>
      <c r="B47" s="101"/>
      <c r="C47" s="94"/>
      <c r="D47" s="5" t="s">
        <v>28</v>
      </c>
      <c r="E47" s="29">
        <v>31</v>
      </c>
      <c r="F47" s="5" t="s">
        <v>83</v>
      </c>
      <c r="G47" s="5">
        <f>4*6</f>
        <v>24</v>
      </c>
      <c r="H47" s="5">
        <f>4*5</f>
        <v>20</v>
      </c>
      <c r="I47" s="5">
        <f>4*8</f>
        <v>32</v>
      </c>
      <c r="J47" s="5">
        <f>4*12</f>
        <v>48</v>
      </c>
      <c r="K47" s="5">
        <f>4*24</f>
        <v>96</v>
      </c>
      <c r="L47" s="5">
        <f>4*37</f>
        <v>148</v>
      </c>
      <c r="M47" s="5">
        <f>4*27</f>
        <v>108</v>
      </c>
      <c r="N47" s="5">
        <f>4*19</f>
        <v>76</v>
      </c>
      <c r="O47" s="5">
        <f>4*18</f>
        <v>72</v>
      </c>
      <c r="P47" s="5">
        <f>4*19</f>
        <v>76</v>
      </c>
      <c r="Q47" s="5">
        <f>4*19</f>
        <v>76</v>
      </c>
      <c r="R47" s="5">
        <f>4*7</f>
        <v>28</v>
      </c>
      <c r="S47" s="5">
        <f>4*16</f>
        <v>64</v>
      </c>
      <c r="T47" s="5">
        <f>4*12</f>
        <v>48</v>
      </c>
      <c r="U47" s="5">
        <f>4*3</f>
        <v>12</v>
      </c>
      <c r="V47" s="5">
        <f>4*2</f>
        <v>8</v>
      </c>
      <c r="W47" s="68">
        <f>SUM(Table1[[#This Row],[7:00-8:00]:[22:00-23:00]])</f>
        <v>936</v>
      </c>
      <c r="X47" s="36"/>
    </row>
    <row r="48" spans="1:24" x14ac:dyDescent="0.25">
      <c r="A48" s="2"/>
      <c r="B48" s="101"/>
      <c r="C48" s="94"/>
      <c r="D48" s="5" t="s">
        <v>30</v>
      </c>
      <c r="E48" s="29">
        <v>32</v>
      </c>
      <c r="F48" s="5" t="s">
        <v>84</v>
      </c>
      <c r="G48" s="5">
        <f>4*3</f>
        <v>12</v>
      </c>
      <c r="H48" s="5">
        <f>4*6</f>
        <v>24</v>
      </c>
      <c r="I48" s="5">
        <f>4*9</f>
        <v>36</v>
      </c>
      <c r="J48" s="5">
        <f>4*6</f>
        <v>24</v>
      </c>
      <c r="K48" s="5">
        <f>4*24</f>
        <v>96</v>
      </c>
      <c r="L48" s="5">
        <f>4*42</f>
        <v>168</v>
      </c>
      <c r="M48" s="5">
        <f>4*29</f>
        <v>116</v>
      </c>
      <c r="N48" s="5">
        <f>4*15</f>
        <v>60</v>
      </c>
      <c r="O48" s="5">
        <f>4*9</f>
        <v>36</v>
      </c>
      <c r="P48" s="5">
        <f>4*16</f>
        <v>64</v>
      </c>
      <c r="Q48" s="5">
        <f>4*8</f>
        <v>32</v>
      </c>
      <c r="R48" s="5">
        <f>4*5</f>
        <v>20</v>
      </c>
      <c r="S48" s="5">
        <f>4*8</f>
        <v>32</v>
      </c>
      <c r="T48" s="5">
        <f>4*6</f>
        <v>24</v>
      </c>
      <c r="U48" s="5">
        <f>4*4</f>
        <v>16</v>
      </c>
      <c r="V48" s="5">
        <v>0</v>
      </c>
      <c r="W48" s="68">
        <f>SUM(Table1[[#This Row],[7:00-8:00]:[22:00-23:00]])</f>
        <v>760</v>
      </c>
      <c r="X48" s="36"/>
    </row>
    <row r="49" spans="1:24" x14ac:dyDescent="0.25">
      <c r="A49" s="2"/>
      <c r="B49" s="101"/>
      <c r="C49" s="94"/>
      <c r="D49" s="5" t="s">
        <v>85</v>
      </c>
      <c r="E49" s="29">
        <v>33</v>
      </c>
      <c r="F49" s="5" t="s">
        <v>86</v>
      </c>
      <c r="G49" s="5">
        <f>4*8</f>
        <v>32</v>
      </c>
      <c r="H49" s="5">
        <f>4*8</f>
        <v>32</v>
      </c>
      <c r="I49" s="5">
        <f>4*18</f>
        <v>72</v>
      </c>
      <c r="J49" s="5">
        <f>4*27</f>
        <v>108</v>
      </c>
      <c r="K49" s="5">
        <f>4*40</f>
        <v>160</v>
      </c>
      <c r="L49" s="5">
        <f>4*67</f>
        <v>268</v>
      </c>
      <c r="M49" s="5">
        <f>4*70</f>
        <v>280</v>
      </c>
      <c r="N49" s="5">
        <f>4*48</f>
        <v>192</v>
      </c>
      <c r="O49" s="5">
        <f>4*75</f>
        <v>300</v>
      </c>
      <c r="P49" s="5">
        <f>4*58</f>
        <v>232</v>
      </c>
      <c r="Q49" s="5">
        <f>4*31</f>
        <v>124</v>
      </c>
      <c r="R49" s="5">
        <f>4*37</f>
        <v>148</v>
      </c>
      <c r="S49" s="5">
        <f>4*24</f>
        <v>96</v>
      </c>
      <c r="T49" s="5">
        <f>4*39</f>
        <v>156</v>
      </c>
      <c r="U49" s="5">
        <f>4*22</f>
        <v>88</v>
      </c>
      <c r="V49" s="5">
        <f>4*12</f>
        <v>48</v>
      </c>
      <c r="W49" s="68">
        <f>SUM(Table1[[#This Row],[7:00-8:00]:[22:00-23:00]])</f>
        <v>2336</v>
      </c>
      <c r="X49" s="36"/>
    </row>
    <row r="50" spans="1:24" x14ac:dyDescent="0.25">
      <c r="A50" s="2"/>
      <c r="B50" s="101"/>
      <c r="C50" s="94"/>
      <c r="D50" s="5" t="s">
        <v>87</v>
      </c>
      <c r="E50" s="29">
        <v>34</v>
      </c>
      <c r="F50" s="5" t="s">
        <v>88</v>
      </c>
      <c r="G50" s="5">
        <f>4*7</f>
        <v>28</v>
      </c>
      <c r="H50" s="33">
        <f>4*6</f>
        <v>24</v>
      </c>
      <c r="I50" s="5">
        <f>4*16</f>
        <v>64</v>
      </c>
      <c r="J50" s="5">
        <f>4*12</f>
        <v>48</v>
      </c>
      <c r="K50" s="5">
        <f>4*34</f>
        <v>136</v>
      </c>
      <c r="L50" s="5">
        <f>4*36</f>
        <v>144</v>
      </c>
      <c r="M50" s="5">
        <f>4*46</f>
        <v>184</v>
      </c>
      <c r="N50" s="5">
        <f>4*34</f>
        <v>136</v>
      </c>
      <c r="O50" s="5">
        <f>4*34</f>
        <v>136</v>
      </c>
      <c r="P50" s="5">
        <f>4*27</f>
        <v>108</v>
      </c>
      <c r="Q50" s="5">
        <f>4*25</f>
        <v>100</v>
      </c>
      <c r="R50" s="5">
        <f>4*31</f>
        <v>124</v>
      </c>
      <c r="S50" s="5">
        <f>4*30</f>
        <v>120</v>
      </c>
      <c r="T50" s="5">
        <f>4*8</f>
        <v>32</v>
      </c>
      <c r="U50" s="5">
        <f>4*6</f>
        <v>24</v>
      </c>
      <c r="V50" s="5">
        <f>4*3</f>
        <v>12</v>
      </c>
      <c r="W50" s="68">
        <f>SUM(Table1[[#This Row],[7:00-8:00]:[22:00-23:00]])</f>
        <v>1420</v>
      </c>
      <c r="X50" s="36"/>
    </row>
    <row r="51" spans="1:24" x14ac:dyDescent="0.25">
      <c r="A51" s="2"/>
      <c r="B51" s="101"/>
      <c r="C51" s="94"/>
      <c r="D51" s="5" t="s">
        <v>50</v>
      </c>
      <c r="E51" s="29">
        <v>35</v>
      </c>
      <c r="F51" s="5" t="s">
        <v>89</v>
      </c>
      <c r="G51" s="5">
        <f>4*12</f>
        <v>48</v>
      </c>
      <c r="H51" s="33">
        <f>4*8</f>
        <v>32</v>
      </c>
      <c r="I51" s="5">
        <f>4*12</f>
        <v>48</v>
      </c>
      <c r="J51" s="5">
        <f>4*30</f>
        <v>120</v>
      </c>
      <c r="K51" s="5">
        <f>4*52</f>
        <v>208</v>
      </c>
      <c r="L51" s="5">
        <f>4*97</f>
        <v>388</v>
      </c>
      <c r="M51" s="5">
        <f>4*105</f>
        <v>420</v>
      </c>
      <c r="N51" s="5">
        <f>4*97</f>
        <v>388</v>
      </c>
      <c r="O51" s="5">
        <f>4*81</f>
        <v>324</v>
      </c>
      <c r="P51" s="5">
        <f>4*72</f>
        <v>288</v>
      </c>
      <c r="Q51" s="5">
        <f>4*81</f>
        <v>324</v>
      </c>
      <c r="R51" s="5">
        <f>4*40</f>
        <v>160</v>
      </c>
      <c r="S51" s="5">
        <f>4*25</f>
        <v>100</v>
      </c>
      <c r="T51" s="5">
        <f>4*31</f>
        <v>124</v>
      </c>
      <c r="U51" s="5">
        <f>4*7</f>
        <v>28</v>
      </c>
      <c r="V51" s="5">
        <f>4*15</f>
        <v>60</v>
      </c>
      <c r="W51" s="68">
        <f>SUM(Table1[[#This Row],[7:00-8:00]:[22:00-23:00]])</f>
        <v>3060</v>
      </c>
      <c r="X51" s="36"/>
    </row>
    <row r="52" spans="1:24" x14ac:dyDescent="0.25">
      <c r="A52" s="2"/>
      <c r="B52" s="101"/>
      <c r="C52" s="94"/>
      <c r="D52" s="5" t="s">
        <v>52</v>
      </c>
      <c r="E52" s="29">
        <v>36</v>
      </c>
      <c r="F52" s="5" t="s">
        <v>90</v>
      </c>
      <c r="G52" s="5">
        <f>4*11</f>
        <v>44</v>
      </c>
      <c r="H52" s="33">
        <f>4*9</f>
        <v>36</v>
      </c>
      <c r="I52" s="5">
        <f>4*12</f>
        <v>48</v>
      </c>
      <c r="J52" s="5">
        <f>4*39</f>
        <v>156</v>
      </c>
      <c r="K52" s="5">
        <f>4*40</f>
        <v>160</v>
      </c>
      <c r="L52" s="5">
        <f>4*48</f>
        <v>192</v>
      </c>
      <c r="M52" s="5">
        <f>4*43</f>
        <v>172</v>
      </c>
      <c r="N52" s="5">
        <f>4*39</f>
        <v>156</v>
      </c>
      <c r="O52" s="5">
        <f>4*39</f>
        <v>156</v>
      </c>
      <c r="P52" s="5">
        <f>4*49</f>
        <v>196</v>
      </c>
      <c r="Q52" s="5">
        <f>4*72</f>
        <v>288</v>
      </c>
      <c r="R52" s="5">
        <f>4*16</f>
        <v>64</v>
      </c>
      <c r="S52" s="5">
        <f>4*24</f>
        <v>96</v>
      </c>
      <c r="T52" s="5">
        <f>4*28</f>
        <v>112</v>
      </c>
      <c r="U52" s="5">
        <f>4*16</f>
        <v>64</v>
      </c>
      <c r="V52" s="5">
        <f>4*7</f>
        <v>28</v>
      </c>
      <c r="W52" s="68">
        <f>SUM(Table1[[#This Row],[7:00-8:00]:[22:00-23:00]])</f>
        <v>1968</v>
      </c>
      <c r="X52" s="36"/>
    </row>
    <row r="53" spans="1:24" x14ac:dyDescent="0.25">
      <c r="A53" s="2"/>
      <c r="B53" s="101"/>
      <c r="C53" s="94"/>
      <c r="D53" s="5"/>
      <c r="E53" s="29"/>
      <c r="F53" s="49" t="s">
        <v>91</v>
      </c>
      <c r="G53" s="49">
        <f>G46+G48+G52</f>
        <v>72</v>
      </c>
      <c r="H53" s="49">
        <f t="shared" ref="H53:V53" si="15">H46+H48+H52</f>
        <v>84</v>
      </c>
      <c r="I53" s="49">
        <f t="shared" si="15"/>
        <v>136</v>
      </c>
      <c r="J53" s="49">
        <f t="shared" si="15"/>
        <v>280</v>
      </c>
      <c r="K53" s="49">
        <f t="shared" si="15"/>
        <v>376</v>
      </c>
      <c r="L53" s="49">
        <f t="shared" si="15"/>
        <v>444</v>
      </c>
      <c r="M53" s="49">
        <f t="shared" si="15"/>
        <v>364</v>
      </c>
      <c r="N53" s="49">
        <f t="shared" si="15"/>
        <v>312</v>
      </c>
      <c r="O53" s="49">
        <f t="shared" si="15"/>
        <v>280</v>
      </c>
      <c r="P53" s="49">
        <f t="shared" si="15"/>
        <v>360</v>
      </c>
      <c r="Q53" s="49">
        <f t="shared" si="15"/>
        <v>396</v>
      </c>
      <c r="R53" s="49">
        <f t="shared" si="15"/>
        <v>116</v>
      </c>
      <c r="S53" s="49">
        <f t="shared" si="15"/>
        <v>160</v>
      </c>
      <c r="T53" s="49">
        <f t="shared" si="15"/>
        <v>160</v>
      </c>
      <c r="U53" s="49">
        <f t="shared" si="15"/>
        <v>108</v>
      </c>
      <c r="V53" s="49">
        <f t="shared" si="15"/>
        <v>40</v>
      </c>
      <c r="W53" s="68">
        <f>SUM(Table1[[#This Row],[7:00-8:00]:[22:00-23:00]])</f>
        <v>3688</v>
      </c>
      <c r="X53" s="36"/>
    </row>
    <row r="54" spans="1:24" x14ac:dyDescent="0.25">
      <c r="A54" s="2"/>
      <c r="B54" s="101"/>
      <c r="C54" s="94"/>
      <c r="D54" s="5"/>
      <c r="E54" s="29"/>
      <c r="F54" s="49" t="s">
        <v>92</v>
      </c>
      <c r="G54" s="49">
        <f>G47+G50</f>
        <v>52</v>
      </c>
      <c r="H54" s="49">
        <f t="shared" ref="H54:V54" si="16">H47+H50</f>
        <v>44</v>
      </c>
      <c r="I54" s="49">
        <f t="shared" si="16"/>
        <v>96</v>
      </c>
      <c r="J54" s="49">
        <f t="shared" si="16"/>
        <v>96</v>
      </c>
      <c r="K54" s="49">
        <f t="shared" si="16"/>
        <v>232</v>
      </c>
      <c r="L54" s="49">
        <f t="shared" si="16"/>
        <v>292</v>
      </c>
      <c r="M54" s="49">
        <f t="shared" si="16"/>
        <v>292</v>
      </c>
      <c r="N54" s="49">
        <f t="shared" si="16"/>
        <v>212</v>
      </c>
      <c r="O54" s="49">
        <f t="shared" si="16"/>
        <v>208</v>
      </c>
      <c r="P54" s="49">
        <f t="shared" si="16"/>
        <v>184</v>
      </c>
      <c r="Q54" s="49">
        <f t="shared" si="16"/>
        <v>176</v>
      </c>
      <c r="R54" s="49">
        <f t="shared" si="16"/>
        <v>152</v>
      </c>
      <c r="S54" s="49">
        <f t="shared" si="16"/>
        <v>184</v>
      </c>
      <c r="T54" s="49">
        <f t="shared" si="16"/>
        <v>80</v>
      </c>
      <c r="U54" s="49">
        <f t="shared" si="16"/>
        <v>36</v>
      </c>
      <c r="V54" s="49">
        <f t="shared" si="16"/>
        <v>20</v>
      </c>
      <c r="W54" s="68">
        <f>SUM(Table1[[#This Row],[7:00-8:00]:[22:00-23:00]])</f>
        <v>2356</v>
      </c>
      <c r="X54" s="36"/>
    </row>
    <row r="55" spans="1:24" x14ac:dyDescent="0.25">
      <c r="A55" s="2"/>
      <c r="B55" s="101"/>
      <c r="C55" s="94"/>
      <c r="D55" s="5"/>
      <c r="E55" s="29"/>
      <c r="F55" s="49" t="s">
        <v>93</v>
      </c>
      <c r="G55" s="49">
        <f>G45</f>
        <v>24</v>
      </c>
      <c r="H55" s="49">
        <f t="shared" ref="H55:V55" si="17">H45</f>
        <v>20</v>
      </c>
      <c r="I55" s="49">
        <f t="shared" si="17"/>
        <v>64</v>
      </c>
      <c r="J55" s="49">
        <f t="shared" si="17"/>
        <v>120</v>
      </c>
      <c r="K55" s="49">
        <f t="shared" si="17"/>
        <v>156</v>
      </c>
      <c r="L55" s="49">
        <f t="shared" si="17"/>
        <v>160</v>
      </c>
      <c r="M55" s="49">
        <f t="shared" si="17"/>
        <v>64</v>
      </c>
      <c r="N55" s="49">
        <f t="shared" si="17"/>
        <v>100</v>
      </c>
      <c r="O55" s="49">
        <f t="shared" si="17"/>
        <v>84</v>
      </c>
      <c r="P55" s="49">
        <f t="shared" si="17"/>
        <v>120</v>
      </c>
      <c r="Q55" s="49">
        <f t="shared" si="17"/>
        <v>88</v>
      </c>
      <c r="R55" s="49">
        <f t="shared" si="17"/>
        <v>28</v>
      </c>
      <c r="S55" s="49">
        <f t="shared" si="17"/>
        <v>48</v>
      </c>
      <c r="T55" s="49">
        <f t="shared" si="17"/>
        <v>36</v>
      </c>
      <c r="U55" s="49">
        <f t="shared" si="17"/>
        <v>32</v>
      </c>
      <c r="V55" s="49">
        <f t="shared" si="17"/>
        <v>20</v>
      </c>
      <c r="W55" s="68">
        <f>SUM(Table1[[#This Row],[7:00-8:00]:[22:00-23:00]])</f>
        <v>1164</v>
      </c>
      <c r="X55" s="36"/>
    </row>
    <row r="56" spans="1:24" x14ac:dyDescent="0.25">
      <c r="A56" s="2"/>
      <c r="B56" s="105"/>
      <c r="C56" s="118"/>
      <c r="D56" s="8"/>
      <c r="E56" s="31"/>
      <c r="F56" s="50" t="s">
        <v>94</v>
      </c>
      <c r="G56" s="50">
        <f>G51+G49</f>
        <v>80</v>
      </c>
      <c r="H56" s="50">
        <f t="shared" ref="H56:V56" si="18">H51+H49</f>
        <v>64</v>
      </c>
      <c r="I56" s="50">
        <f t="shared" si="18"/>
        <v>120</v>
      </c>
      <c r="J56" s="50">
        <f t="shared" si="18"/>
        <v>228</v>
      </c>
      <c r="K56" s="50">
        <f t="shared" si="18"/>
        <v>368</v>
      </c>
      <c r="L56" s="50">
        <f t="shared" si="18"/>
        <v>656</v>
      </c>
      <c r="M56" s="50">
        <f t="shared" si="18"/>
        <v>700</v>
      </c>
      <c r="N56" s="50">
        <f t="shared" si="18"/>
        <v>580</v>
      </c>
      <c r="O56" s="50">
        <f t="shared" si="18"/>
        <v>624</v>
      </c>
      <c r="P56" s="50">
        <f t="shared" si="18"/>
        <v>520</v>
      </c>
      <c r="Q56" s="50">
        <f t="shared" si="18"/>
        <v>448</v>
      </c>
      <c r="R56" s="50">
        <f t="shared" si="18"/>
        <v>308</v>
      </c>
      <c r="S56" s="50">
        <f t="shared" si="18"/>
        <v>196</v>
      </c>
      <c r="T56" s="50">
        <f t="shared" si="18"/>
        <v>280</v>
      </c>
      <c r="U56" s="50">
        <f t="shared" si="18"/>
        <v>116</v>
      </c>
      <c r="V56" s="50">
        <f t="shared" si="18"/>
        <v>108</v>
      </c>
      <c r="W56" s="72">
        <f>SUM(Table1[[#This Row],[7:00-8:00]:[22:00-23:00]])</f>
        <v>5396</v>
      </c>
      <c r="X56" s="36"/>
    </row>
    <row r="57" spans="1:24" x14ac:dyDescent="0.25">
      <c r="A57" s="2"/>
      <c r="B57" s="100" t="s">
        <v>95</v>
      </c>
      <c r="C57" s="102" t="s">
        <v>96</v>
      </c>
      <c r="D57" s="5" t="s">
        <v>24</v>
      </c>
      <c r="E57" s="28">
        <v>37</v>
      </c>
      <c r="F57" s="5" t="s">
        <v>97</v>
      </c>
      <c r="G57" s="2">
        <f>4*3</f>
        <v>12</v>
      </c>
      <c r="H57" s="15">
        <f>4*11</f>
        <v>44</v>
      </c>
      <c r="I57" s="2">
        <f>4*19</f>
        <v>76</v>
      </c>
      <c r="J57" s="2">
        <f>4*6</f>
        <v>24</v>
      </c>
      <c r="K57" s="2">
        <f>4*8</f>
        <v>32</v>
      </c>
      <c r="L57" s="2">
        <f>4*12</f>
        <v>48</v>
      </c>
      <c r="M57" s="2">
        <f>4*7</f>
        <v>28</v>
      </c>
      <c r="N57" s="2">
        <f>4*7</f>
        <v>28</v>
      </c>
      <c r="O57" s="2">
        <f>4*8</f>
        <v>32</v>
      </c>
      <c r="P57" s="2">
        <f>4*6</f>
        <v>24</v>
      </c>
      <c r="Q57" s="2">
        <f>4*13</f>
        <v>52</v>
      </c>
      <c r="R57" s="2">
        <f>4*6</f>
        <v>24</v>
      </c>
      <c r="S57" s="2">
        <f>4*9</f>
        <v>36</v>
      </c>
      <c r="T57" s="2">
        <f>4*3</f>
        <v>12</v>
      </c>
      <c r="U57" s="2">
        <f>4*6</f>
        <v>24</v>
      </c>
      <c r="V57" s="2">
        <f>4*2</f>
        <v>8</v>
      </c>
      <c r="W57" s="6">
        <f>SUM(Table1[[#This Row],[7:00-8:00]:[22:00-23:00]])</f>
        <v>504</v>
      </c>
    </row>
    <row r="58" spans="1:24" x14ac:dyDescent="0.25">
      <c r="A58" s="2"/>
      <c r="B58" s="101"/>
      <c r="C58" s="92"/>
      <c r="D58" s="5" t="s">
        <v>26</v>
      </c>
      <c r="E58" s="30">
        <v>38</v>
      </c>
      <c r="F58" s="5" t="s">
        <v>98</v>
      </c>
      <c r="G58" s="2">
        <f>4*2</f>
        <v>8</v>
      </c>
      <c r="H58" s="15">
        <f>4*8</f>
        <v>32</v>
      </c>
      <c r="I58" s="2">
        <f>4*7</f>
        <v>28</v>
      </c>
      <c r="J58" s="2">
        <f>4*8</f>
        <v>32</v>
      </c>
      <c r="K58" s="2">
        <f>4*13</f>
        <v>52</v>
      </c>
      <c r="L58" s="2">
        <f>4*3</f>
        <v>12</v>
      </c>
      <c r="M58" s="2">
        <f>4*6</f>
        <v>24</v>
      </c>
      <c r="N58" s="2">
        <f>4*9</f>
        <v>36</v>
      </c>
      <c r="O58" s="2">
        <f>4*13</f>
        <v>52</v>
      </c>
      <c r="P58" s="2">
        <f>4*15</f>
        <v>60</v>
      </c>
      <c r="Q58" s="2">
        <f>4*6</f>
        <v>24</v>
      </c>
      <c r="R58" s="2">
        <f>4*9</f>
        <v>36</v>
      </c>
      <c r="S58" s="2">
        <f>4*15</f>
        <v>60</v>
      </c>
      <c r="T58" s="2">
        <f>0</f>
        <v>0</v>
      </c>
      <c r="U58" s="2">
        <f>4*7</f>
        <v>28</v>
      </c>
      <c r="V58" s="2">
        <f>4*7</f>
        <v>28</v>
      </c>
      <c r="W58" s="6">
        <f>SUM(Table1[[#This Row],[7:00-8:00]:[22:00-23:00]])</f>
        <v>512</v>
      </c>
    </row>
    <row r="59" spans="1:24" x14ac:dyDescent="0.25">
      <c r="A59" s="2"/>
      <c r="B59" s="100">
        <v>7</v>
      </c>
      <c r="C59" s="102" t="s">
        <v>99</v>
      </c>
      <c r="D59" s="9" t="s">
        <v>24</v>
      </c>
      <c r="E59" s="28">
        <v>39</v>
      </c>
      <c r="F59" s="10" t="s">
        <v>100</v>
      </c>
      <c r="G59" s="10">
        <f>4*13</f>
        <v>52</v>
      </c>
      <c r="H59" s="10">
        <f>4*33</f>
        <v>132</v>
      </c>
      <c r="I59" s="10">
        <f>4*42</f>
        <v>168</v>
      </c>
      <c r="J59" s="10">
        <f>4*61</f>
        <v>244</v>
      </c>
      <c r="K59" s="10">
        <f>4*54</f>
        <v>216</v>
      </c>
      <c r="L59" s="10">
        <f>4*84</f>
        <v>336</v>
      </c>
      <c r="M59" s="10">
        <f>4*73</f>
        <v>292</v>
      </c>
      <c r="N59" s="10">
        <f>4*66</f>
        <v>264</v>
      </c>
      <c r="O59" s="10">
        <f>4*75</f>
        <v>300</v>
      </c>
      <c r="P59" s="10">
        <f>4*55</f>
        <v>220</v>
      </c>
      <c r="Q59" s="10">
        <f>4*97</f>
        <v>388</v>
      </c>
      <c r="R59" s="10">
        <f>4*94</f>
        <v>376</v>
      </c>
      <c r="S59" s="10">
        <f>4*69</f>
        <v>276</v>
      </c>
      <c r="T59" s="10">
        <f>4*42</f>
        <v>168</v>
      </c>
      <c r="U59" s="10">
        <f>4*76</f>
        <v>304</v>
      </c>
      <c r="V59" s="10">
        <f>4*52</f>
        <v>208</v>
      </c>
      <c r="W59" s="11">
        <f>SUM(Table1[[#This Row],[7:00-8:00]:[22:00-23:00]])</f>
        <v>3944</v>
      </c>
    </row>
    <row r="60" spans="1:24" x14ac:dyDescent="0.25">
      <c r="A60" s="2"/>
      <c r="B60" s="101"/>
      <c r="C60" s="92"/>
      <c r="D60" s="5" t="s">
        <v>26</v>
      </c>
      <c r="E60" s="29">
        <v>40</v>
      </c>
      <c r="F60" s="5" t="s">
        <v>101</v>
      </c>
      <c r="G60" s="2">
        <f>4*24</f>
        <v>96</v>
      </c>
      <c r="H60" s="2">
        <f>4*15</f>
        <v>60</v>
      </c>
      <c r="I60" s="2">
        <f>4*30</f>
        <v>120</v>
      </c>
      <c r="J60" s="2">
        <f>4*42</f>
        <v>168</v>
      </c>
      <c r="K60" s="2">
        <f>4*51</f>
        <v>204</v>
      </c>
      <c r="L60" s="2">
        <f>4*63</f>
        <v>252</v>
      </c>
      <c r="M60" s="2">
        <f>4*70</f>
        <v>280</v>
      </c>
      <c r="N60" s="2">
        <f>4*54</f>
        <v>216</v>
      </c>
      <c r="O60" s="2">
        <f>4*49</f>
        <v>196</v>
      </c>
      <c r="P60" s="2">
        <f>4*58</f>
        <v>232</v>
      </c>
      <c r="Q60" s="2">
        <f>4*60</f>
        <v>240</v>
      </c>
      <c r="R60" s="2">
        <f>4*60</f>
        <v>240</v>
      </c>
      <c r="S60" s="2">
        <f>4*55</f>
        <v>220</v>
      </c>
      <c r="T60" s="2">
        <f>4*54</f>
        <v>216</v>
      </c>
      <c r="U60" s="2">
        <f>4*49</f>
        <v>196</v>
      </c>
      <c r="V60" s="2">
        <f>4*40</f>
        <v>160</v>
      </c>
      <c r="W60" s="6">
        <f>SUM(Table1[[#This Row],[7:00-8:00]:[22:00-23:00]])</f>
        <v>3096</v>
      </c>
    </row>
    <row r="61" spans="1:24" x14ac:dyDescent="0.25">
      <c r="A61" s="2"/>
      <c r="B61" s="101"/>
      <c r="C61" s="92"/>
      <c r="D61" s="5" t="s">
        <v>28</v>
      </c>
      <c r="E61" s="28">
        <v>41</v>
      </c>
      <c r="F61" s="5" t="s">
        <v>102</v>
      </c>
      <c r="G61" s="2">
        <f>4*8</f>
        <v>32</v>
      </c>
      <c r="H61" s="2">
        <f>4*19</f>
        <v>76</v>
      </c>
      <c r="I61" s="2">
        <f>4*25</f>
        <v>100</v>
      </c>
      <c r="J61" s="2">
        <f>4*51</f>
        <v>204</v>
      </c>
      <c r="K61" s="2">
        <f>4*64</f>
        <v>256</v>
      </c>
      <c r="L61" s="2">
        <f>4*85</f>
        <v>340</v>
      </c>
      <c r="M61" s="2">
        <f>4*79</f>
        <v>316</v>
      </c>
      <c r="N61" s="2">
        <f>4*64</f>
        <v>256</v>
      </c>
      <c r="O61" s="2">
        <f>4*40</f>
        <v>160</v>
      </c>
      <c r="P61" s="2">
        <f>4*37</f>
        <v>148</v>
      </c>
      <c r="Q61" s="2">
        <f>4*79</f>
        <v>316</v>
      </c>
      <c r="R61" s="2">
        <f>4*61</f>
        <v>244</v>
      </c>
      <c r="S61" s="2">
        <f>4*45</f>
        <v>180</v>
      </c>
      <c r="T61" s="2">
        <f>4*42</f>
        <v>168</v>
      </c>
      <c r="U61" s="2">
        <f>4*31</f>
        <v>124</v>
      </c>
      <c r="V61" s="2">
        <f>4*25</f>
        <v>100</v>
      </c>
      <c r="W61" s="6">
        <f>SUM(Table1[[#This Row],[7:00-8:00]:[22:00-23:00]])</f>
        <v>3020</v>
      </c>
    </row>
    <row r="62" spans="1:24" x14ac:dyDescent="0.25">
      <c r="A62" s="2"/>
      <c r="B62" s="101"/>
      <c r="C62" s="92"/>
      <c r="D62" s="5" t="s">
        <v>30</v>
      </c>
      <c r="E62" s="29">
        <v>42</v>
      </c>
      <c r="F62" s="5" t="s">
        <v>103</v>
      </c>
      <c r="G62" s="2">
        <f>4*12</f>
        <v>48</v>
      </c>
      <c r="H62" s="2">
        <f>4*12</f>
        <v>48</v>
      </c>
      <c r="I62" s="2">
        <f>4*21</f>
        <v>84</v>
      </c>
      <c r="J62" s="2">
        <f>4*55</f>
        <v>220</v>
      </c>
      <c r="K62" s="2">
        <f>4*58</f>
        <v>232</v>
      </c>
      <c r="L62" s="2">
        <f>4*63</f>
        <v>252</v>
      </c>
      <c r="M62" s="2">
        <f>4*76</f>
        <v>304</v>
      </c>
      <c r="N62" s="2">
        <f>4*63</f>
        <v>252</v>
      </c>
      <c r="O62" s="2">
        <f>4*52</f>
        <v>208</v>
      </c>
      <c r="P62" s="2">
        <f>4*30</f>
        <v>120</v>
      </c>
      <c r="Q62" s="2">
        <f>4*70</f>
        <v>280</v>
      </c>
      <c r="R62" s="2">
        <f>4*64</f>
        <v>256</v>
      </c>
      <c r="S62" s="2">
        <f>4*37</f>
        <v>148</v>
      </c>
      <c r="T62" s="2">
        <f>4*54</f>
        <v>216</v>
      </c>
      <c r="U62" s="2">
        <f>4*24</f>
        <v>96</v>
      </c>
      <c r="V62" s="2">
        <f>4*15</f>
        <v>60</v>
      </c>
      <c r="W62" s="6">
        <f>SUM(Table1[[#This Row],[7:00-8:00]:[22:00-23:00]])</f>
        <v>2824</v>
      </c>
    </row>
    <row r="63" spans="1:24" x14ac:dyDescent="0.25">
      <c r="A63" s="2"/>
      <c r="B63" s="101"/>
      <c r="C63" s="92"/>
      <c r="D63" s="5" t="s">
        <v>32</v>
      </c>
      <c r="E63" s="28">
        <v>43</v>
      </c>
      <c r="F63" s="2" t="s">
        <v>75</v>
      </c>
      <c r="G63" s="2">
        <f>4*39</f>
        <v>156</v>
      </c>
      <c r="H63" s="2">
        <f>4*54</f>
        <v>216</v>
      </c>
      <c r="I63" s="2">
        <f>4*69</f>
        <v>276</v>
      </c>
      <c r="J63" s="2">
        <f>4*153</f>
        <v>612</v>
      </c>
      <c r="K63" s="2">
        <f>4*201</f>
        <v>804</v>
      </c>
      <c r="L63" s="2">
        <f>4*163</f>
        <v>652</v>
      </c>
      <c r="M63" s="2">
        <f>4*183</f>
        <v>732</v>
      </c>
      <c r="N63" s="2">
        <f>4*166</f>
        <v>664</v>
      </c>
      <c r="O63" s="2">
        <f>4*179</f>
        <v>716</v>
      </c>
      <c r="P63" s="2">
        <f>4*175</f>
        <v>700</v>
      </c>
      <c r="Q63" s="2">
        <f>4*127</f>
        <v>508</v>
      </c>
      <c r="R63" s="2">
        <f>4*136</f>
        <v>544</v>
      </c>
      <c r="S63" s="2">
        <f>4*88</f>
        <v>352</v>
      </c>
      <c r="T63" s="2">
        <f>4*121</f>
        <v>484</v>
      </c>
      <c r="U63" s="2">
        <f>4*81</f>
        <v>324</v>
      </c>
      <c r="V63" s="2">
        <f>4*73</f>
        <v>292</v>
      </c>
      <c r="W63" s="6">
        <f>SUM(Table1[[#This Row],[7:00-8:00]:[22:00-23:00]])</f>
        <v>8032</v>
      </c>
    </row>
    <row r="64" spans="1:24" x14ac:dyDescent="0.25">
      <c r="A64" s="2"/>
      <c r="B64" s="101"/>
      <c r="C64" s="92"/>
      <c r="D64" s="5" t="s">
        <v>34</v>
      </c>
      <c r="E64" s="28">
        <v>44</v>
      </c>
      <c r="F64" s="5" t="s">
        <v>76</v>
      </c>
      <c r="G64" s="2">
        <f>4*27</f>
        <v>108</v>
      </c>
      <c r="H64" s="15">
        <f>4*34</f>
        <v>136</v>
      </c>
      <c r="I64" s="2">
        <f>4*61</f>
        <v>244</v>
      </c>
      <c r="J64" s="2">
        <f>4*124</f>
        <v>496</v>
      </c>
      <c r="K64" s="2">
        <f>4*117</f>
        <v>468</v>
      </c>
      <c r="L64" s="2">
        <f>4*166</f>
        <v>664</v>
      </c>
      <c r="M64" s="2">
        <f>4*175</f>
        <v>700</v>
      </c>
      <c r="N64" s="2">
        <f>4*169</f>
        <v>676</v>
      </c>
      <c r="O64" s="2">
        <f>4*157</f>
        <v>628</v>
      </c>
      <c r="P64" s="2">
        <f>4*205</f>
        <v>820</v>
      </c>
      <c r="Q64" s="2">
        <f>4*138</f>
        <v>552</v>
      </c>
      <c r="R64" s="2">
        <f>4*137</f>
        <v>548</v>
      </c>
      <c r="S64" s="2">
        <f>4*103</f>
        <v>412</v>
      </c>
      <c r="T64" s="2">
        <f>4*85</f>
        <v>340</v>
      </c>
      <c r="U64" s="2">
        <f>4*93</f>
        <v>372</v>
      </c>
      <c r="V64" s="2">
        <f>4*108</f>
        <v>432</v>
      </c>
      <c r="W64" s="6">
        <f>SUM(Table1[[#This Row],[7:00-8:00]:[22:00-23:00]])</f>
        <v>7596</v>
      </c>
    </row>
    <row r="65" spans="1:23" x14ac:dyDescent="0.25">
      <c r="A65" s="2"/>
      <c r="B65" s="101"/>
      <c r="C65" s="92"/>
      <c r="D65" s="5"/>
      <c r="E65" s="28"/>
      <c r="F65" s="49" t="s">
        <v>104</v>
      </c>
      <c r="G65" s="69">
        <f>G60+G62</f>
        <v>144</v>
      </c>
      <c r="H65" s="69">
        <f t="shared" ref="H65:V65" si="19">H60+H62</f>
        <v>108</v>
      </c>
      <c r="I65" s="69">
        <f t="shared" si="19"/>
        <v>204</v>
      </c>
      <c r="J65" s="69">
        <f t="shared" si="19"/>
        <v>388</v>
      </c>
      <c r="K65" s="69">
        <f t="shared" si="19"/>
        <v>436</v>
      </c>
      <c r="L65" s="69">
        <f t="shared" si="19"/>
        <v>504</v>
      </c>
      <c r="M65" s="69">
        <f t="shared" si="19"/>
        <v>584</v>
      </c>
      <c r="N65" s="69">
        <f t="shared" si="19"/>
        <v>468</v>
      </c>
      <c r="O65" s="69">
        <f t="shared" si="19"/>
        <v>404</v>
      </c>
      <c r="P65" s="69">
        <f t="shared" si="19"/>
        <v>352</v>
      </c>
      <c r="Q65" s="69">
        <f t="shared" si="19"/>
        <v>520</v>
      </c>
      <c r="R65" s="69">
        <f t="shared" si="19"/>
        <v>496</v>
      </c>
      <c r="S65" s="69">
        <f t="shared" si="19"/>
        <v>368</v>
      </c>
      <c r="T65" s="69">
        <f t="shared" si="19"/>
        <v>432</v>
      </c>
      <c r="U65" s="69">
        <f t="shared" si="19"/>
        <v>292</v>
      </c>
      <c r="V65" s="69">
        <f t="shared" si="19"/>
        <v>220</v>
      </c>
      <c r="W65" s="6">
        <f>SUM(Table1[[#This Row],[7:00-8:00]:[22:00-23:00]])</f>
        <v>5920</v>
      </c>
    </row>
    <row r="66" spans="1:23" x14ac:dyDescent="0.25">
      <c r="A66" s="2"/>
      <c r="B66" s="101"/>
      <c r="C66" s="92"/>
      <c r="D66" s="5"/>
      <c r="E66" s="28"/>
      <c r="F66" s="49" t="s">
        <v>78</v>
      </c>
      <c r="G66" s="69">
        <f>G59+G64</f>
        <v>160</v>
      </c>
      <c r="H66" s="69">
        <f t="shared" ref="H66:V66" si="20">H59+H64</f>
        <v>268</v>
      </c>
      <c r="I66" s="69">
        <f t="shared" si="20"/>
        <v>412</v>
      </c>
      <c r="J66" s="69">
        <f t="shared" si="20"/>
        <v>740</v>
      </c>
      <c r="K66" s="69">
        <f t="shared" si="20"/>
        <v>684</v>
      </c>
      <c r="L66" s="69">
        <f t="shared" si="20"/>
        <v>1000</v>
      </c>
      <c r="M66" s="69">
        <f t="shared" si="20"/>
        <v>992</v>
      </c>
      <c r="N66" s="69">
        <f t="shared" si="20"/>
        <v>940</v>
      </c>
      <c r="O66" s="69">
        <f t="shared" si="20"/>
        <v>928</v>
      </c>
      <c r="P66" s="69">
        <f t="shared" si="20"/>
        <v>1040</v>
      </c>
      <c r="Q66" s="69">
        <f t="shared" si="20"/>
        <v>940</v>
      </c>
      <c r="R66" s="69">
        <f t="shared" si="20"/>
        <v>924</v>
      </c>
      <c r="S66" s="69">
        <f t="shared" si="20"/>
        <v>688</v>
      </c>
      <c r="T66" s="69">
        <f t="shared" si="20"/>
        <v>508</v>
      </c>
      <c r="U66" s="69">
        <f t="shared" si="20"/>
        <v>676</v>
      </c>
      <c r="V66" s="69">
        <f t="shared" si="20"/>
        <v>640</v>
      </c>
      <c r="W66" s="6">
        <f>SUM(Table1[[#This Row],[7:00-8:00]:[22:00-23:00]])</f>
        <v>11540</v>
      </c>
    </row>
    <row r="67" spans="1:23" x14ac:dyDescent="0.25">
      <c r="A67" s="2"/>
      <c r="B67" s="105"/>
      <c r="C67" s="104"/>
      <c r="D67" s="8"/>
      <c r="E67" s="31"/>
      <c r="F67" s="51" t="s">
        <v>79</v>
      </c>
      <c r="G67" s="51">
        <f>G61+G63</f>
        <v>188</v>
      </c>
      <c r="H67" s="51">
        <f t="shared" ref="H67:V67" si="21">H61+H63</f>
        <v>292</v>
      </c>
      <c r="I67" s="51">
        <f t="shared" si="21"/>
        <v>376</v>
      </c>
      <c r="J67" s="51">
        <f t="shared" si="21"/>
        <v>816</v>
      </c>
      <c r="K67" s="51">
        <f t="shared" si="21"/>
        <v>1060</v>
      </c>
      <c r="L67" s="51">
        <f t="shared" si="21"/>
        <v>992</v>
      </c>
      <c r="M67" s="51">
        <f t="shared" si="21"/>
        <v>1048</v>
      </c>
      <c r="N67" s="51">
        <f t="shared" si="21"/>
        <v>920</v>
      </c>
      <c r="O67" s="51">
        <f t="shared" si="21"/>
        <v>876</v>
      </c>
      <c r="P67" s="51">
        <f t="shared" si="21"/>
        <v>848</v>
      </c>
      <c r="Q67" s="51">
        <f t="shared" si="21"/>
        <v>824</v>
      </c>
      <c r="R67" s="51">
        <f t="shared" si="21"/>
        <v>788</v>
      </c>
      <c r="S67" s="51">
        <f t="shared" si="21"/>
        <v>532</v>
      </c>
      <c r="T67" s="51">
        <f t="shared" si="21"/>
        <v>652</v>
      </c>
      <c r="U67" s="51">
        <f t="shared" si="21"/>
        <v>448</v>
      </c>
      <c r="V67" s="51">
        <f t="shared" si="21"/>
        <v>392</v>
      </c>
      <c r="W67" s="7">
        <f>SUM(Table1[[#This Row],[7:00-8:00]:[22:00-23:00]])</f>
        <v>11052</v>
      </c>
    </row>
    <row r="68" spans="1:23" x14ac:dyDescent="0.25">
      <c r="A68" s="2"/>
      <c r="B68" s="100">
        <v>8</v>
      </c>
      <c r="C68" s="102" t="s">
        <v>105</v>
      </c>
      <c r="D68" s="9" t="s">
        <v>24</v>
      </c>
      <c r="E68" s="28">
        <v>45</v>
      </c>
      <c r="F68" s="5" t="s">
        <v>106</v>
      </c>
      <c r="G68" s="10">
        <f>4*100</f>
        <v>400</v>
      </c>
      <c r="H68" s="10">
        <f>4*115</f>
        <v>460</v>
      </c>
      <c r="I68" s="10">
        <f>4*118</f>
        <v>472</v>
      </c>
      <c r="J68" s="10">
        <f>4*186</f>
        <v>744</v>
      </c>
      <c r="K68" s="10">
        <f>4*165</f>
        <v>660</v>
      </c>
      <c r="L68" s="10">
        <f>4*234</f>
        <v>936</v>
      </c>
      <c r="M68" s="10">
        <f>4*222</f>
        <v>888</v>
      </c>
      <c r="N68" s="10">
        <f>4*200</f>
        <v>800</v>
      </c>
      <c r="O68" s="10">
        <f>4*150</f>
        <v>600</v>
      </c>
      <c r="P68" s="10">
        <f>4*118</f>
        <v>472</v>
      </c>
      <c r="Q68" s="10">
        <f>4*135</f>
        <v>540</v>
      </c>
      <c r="R68" s="10">
        <f>4*177</f>
        <v>708</v>
      </c>
      <c r="S68" s="10">
        <f>4*186</f>
        <v>744</v>
      </c>
      <c r="T68" s="10">
        <f>4*153</f>
        <v>612</v>
      </c>
      <c r="U68" s="10">
        <f>4*133</f>
        <v>532</v>
      </c>
      <c r="V68" s="10">
        <f>4*120</f>
        <v>480</v>
      </c>
      <c r="W68" s="11">
        <f>SUM(Table1[[#This Row],[7:00-8:00]:[22:00-23:00]])</f>
        <v>10048</v>
      </c>
    </row>
    <row r="69" spans="1:23" x14ac:dyDescent="0.25">
      <c r="A69" s="2"/>
      <c r="B69" s="101"/>
      <c r="C69" s="92"/>
      <c r="D69" s="5" t="s">
        <v>26</v>
      </c>
      <c r="E69" s="28">
        <v>46</v>
      </c>
      <c r="F69" s="5" t="s">
        <v>107</v>
      </c>
      <c r="G69" s="2">
        <f>4*90</f>
        <v>360</v>
      </c>
      <c r="H69" s="2">
        <f>4*99</f>
        <v>396</v>
      </c>
      <c r="I69" s="2">
        <f>4*133</f>
        <v>532</v>
      </c>
      <c r="J69" s="2">
        <f>4*172</f>
        <v>688</v>
      </c>
      <c r="K69" s="2">
        <f>4*160</f>
        <v>640</v>
      </c>
      <c r="L69" s="2">
        <f>4*178</f>
        <v>712</v>
      </c>
      <c r="M69" s="2">
        <f>4*154</f>
        <v>616</v>
      </c>
      <c r="N69" s="2">
        <f>4*186</f>
        <v>744</v>
      </c>
      <c r="O69" s="2">
        <f>4*124</f>
        <v>496</v>
      </c>
      <c r="P69" s="2">
        <f>4*102</f>
        <v>408</v>
      </c>
      <c r="Q69" s="2">
        <f>4*145</f>
        <v>580</v>
      </c>
      <c r="R69" s="2">
        <f>4*174</f>
        <v>696</v>
      </c>
      <c r="S69" s="2">
        <f>4*171</f>
        <v>684</v>
      </c>
      <c r="T69" s="2">
        <f>4*156</f>
        <v>624</v>
      </c>
      <c r="U69" s="2">
        <f>4*174</f>
        <v>696</v>
      </c>
      <c r="V69" s="2">
        <f>4*114</f>
        <v>456</v>
      </c>
      <c r="W69" s="6">
        <f>SUM(Table1[[#This Row],[7:00-8:00]:[22:00-23:00]])</f>
        <v>9328</v>
      </c>
    </row>
    <row r="70" spans="1:23" x14ac:dyDescent="0.25">
      <c r="A70" s="2"/>
      <c r="B70" s="101"/>
      <c r="C70" s="92"/>
      <c r="D70" s="5" t="s">
        <v>28</v>
      </c>
      <c r="E70" s="28">
        <v>47</v>
      </c>
      <c r="F70" s="13" t="s">
        <v>108</v>
      </c>
      <c r="G70" s="2">
        <f>4*85</f>
        <v>340</v>
      </c>
      <c r="H70" s="2">
        <f>4*78</f>
        <v>312</v>
      </c>
      <c r="I70" s="2">
        <f>4*90</f>
        <v>360</v>
      </c>
      <c r="J70" s="2">
        <f>4*165</f>
        <v>660</v>
      </c>
      <c r="K70" s="2">
        <f>4*154</f>
        <v>616</v>
      </c>
      <c r="L70" s="2">
        <f>4*189</f>
        <v>756</v>
      </c>
      <c r="M70" s="2">
        <f>4*151</f>
        <v>604</v>
      </c>
      <c r="N70" s="2">
        <f>4*156</f>
        <v>624</v>
      </c>
      <c r="O70" s="2">
        <f>4*157</f>
        <v>628</v>
      </c>
      <c r="P70" s="2">
        <f>4*105</f>
        <v>420</v>
      </c>
      <c r="Q70" s="2">
        <f>4*109</f>
        <v>436</v>
      </c>
      <c r="R70" s="2">
        <f>4*157</f>
        <v>628</v>
      </c>
      <c r="S70" s="2">
        <f>4*156</f>
        <v>624</v>
      </c>
      <c r="T70" s="2">
        <f>4*153</f>
        <v>612</v>
      </c>
      <c r="U70" s="2">
        <f>4*160</f>
        <v>640</v>
      </c>
      <c r="V70" s="2">
        <f>4*163</f>
        <v>652</v>
      </c>
      <c r="W70" s="6">
        <f>SUM(Table1[[#This Row],[7:00-8:00]:[22:00-23:00]])</f>
        <v>8912</v>
      </c>
    </row>
    <row r="71" spans="1:23" x14ac:dyDescent="0.25">
      <c r="A71" s="2"/>
      <c r="B71" s="101"/>
      <c r="C71" s="92"/>
      <c r="D71" s="5" t="s">
        <v>30</v>
      </c>
      <c r="E71" s="28">
        <v>48</v>
      </c>
      <c r="F71" s="13" t="s">
        <v>109</v>
      </c>
      <c r="G71" s="2">
        <f>4*70</f>
        <v>280</v>
      </c>
      <c r="H71" s="15">
        <f>4*129</f>
        <v>516</v>
      </c>
      <c r="I71" s="2">
        <f>4*100</f>
        <v>400</v>
      </c>
      <c r="J71" s="2">
        <f>4*118</f>
        <v>472</v>
      </c>
      <c r="K71" s="2">
        <f>4*118</f>
        <v>472</v>
      </c>
      <c r="L71" s="2">
        <f>4*144</f>
        <v>576</v>
      </c>
      <c r="M71" s="2">
        <f>4*133</f>
        <v>532</v>
      </c>
      <c r="N71" s="2">
        <f>4*121</f>
        <v>484</v>
      </c>
      <c r="O71" s="2">
        <f>4*112</f>
        <v>448</v>
      </c>
      <c r="P71" s="2">
        <f>4*94</f>
        <v>376</v>
      </c>
      <c r="Q71" s="2">
        <f>4*76</f>
        <v>304</v>
      </c>
      <c r="R71" s="2">
        <f>4*138</f>
        <v>552</v>
      </c>
      <c r="S71" s="2">
        <f>4*129</f>
        <v>516</v>
      </c>
      <c r="T71" s="2">
        <f>4*123</f>
        <v>492</v>
      </c>
      <c r="U71" s="2">
        <f>4*91</f>
        <v>364</v>
      </c>
      <c r="V71" s="2">
        <f>4*63</f>
        <v>252</v>
      </c>
      <c r="W71" s="6">
        <f>SUM(Table1[[#This Row],[7:00-8:00]:[22:00-23:00]])</f>
        <v>7036</v>
      </c>
    </row>
    <row r="72" spans="1:23" x14ac:dyDescent="0.25">
      <c r="A72" s="2"/>
      <c r="B72" s="101"/>
      <c r="C72" s="92"/>
      <c r="D72" s="5"/>
      <c r="E72" s="28"/>
      <c r="F72" s="48" t="s">
        <v>110</v>
      </c>
      <c r="G72" s="69">
        <f>G69+G71</f>
        <v>640</v>
      </c>
      <c r="H72" s="69">
        <f t="shared" ref="H72:V72" si="22">H69+H71</f>
        <v>912</v>
      </c>
      <c r="I72" s="69">
        <f t="shared" si="22"/>
        <v>932</v>
      </c>
      <c r="J72" s="69">
        <f t="shared" si="22"/>
        <v>1160</v>
      </c>
      <c r="K72" s="69">
        <f t="shared" si="22"/>
        <v>1112</v>
      </c>
      <c r="L72" s="69">
        <f t="shared" si="22"/>
        <v>1288</v>
      </c>
      <c r="M72" s="69">
        <f t="shared" si="22"/>
        <v>1148</v>
      </c>
      <c r="N72" s="69">
        <f t="shared" si="22"/>
        <v>1228</v>
      </c>
      <c r="O72" s="69">
        <f t="shared" si="22"/>
        <v>944</v>
      </c>
      <c r="P72" s="69">
        <f t="shared" si="22"/>
        <v>784</v>
      </c>
      <c r="Q72" s="69">
        <f t="shared" si="22"/>
        <v>884</v>
      </c>
      <c r="R72" s="69">
        <f t="shared" si="22"/>
        <v>1248</v>
      </c>
      <c r="S72" s="69">
        <f t="shared" si="22"/>
        <v>1200</v>
      </c>
      <c r="T72" s="69">
        <f t="shared" si="22"/>
        <v>1116</v>
      </c>
      <c r="U72" s="69">
        <f t="shared" si="22"/>
        <v>1060</v>
      </c>
      <c r="V72" s="69">
        <f t="shared" si="22"/>
        <v>708</v>
      </c>
      <c r="W72" s="6">
        <f>SUM(Table1[[#This Row],[7:00-8:00]:[22:00-23:00]])</f>
        <v>16364</v>
      </c>
    </row>
    <row r="73" spans="1:23" x14ac:dyDescent="0.25">
      <c r="A73" s="2"/>
      <c r="B73" s="101"/>
      <c r="C73" s="92"/>
      <c r="D73" s="5"/>
      <c r="E73" s="30"/>
      <c r="F73" s="48" t="s">
        <v>111</v>
      </c>
      <c r="G73" s="69">
        <f>G68+G70</f>
        <v>740</v>
      </c>
      <c r="H73" s="69">
        <f t="shared" ref="H73:V73" si="23">H68+H70</f>
        <v>772</v>
      </c>
      <c r="I73" s="69">
        <f t="shared" si="23"/>
        <v>832</v>
      </c>
      <c r="J73" s="69">
        <f t="shared" si="23"/>
        <v>1404</v>
      </c>
      <c r="K73" s="69">
        <f t="shared" si="23"/>
        <v>1276</v>
      </c>
      <c r="L73" s="69">
        <f t="shared" si="23"/>
        <v>1692</v>
      </c>
      <c r="M73" s="69">
        <f t="shared" si="23"/>
        <v>1492</v>
      </c>
      <c r="N73" s="69">
        <f t="shared" si="23"/>
        <v>1424</v>
      </c>
      <c r="O73" s="69">
        <f t="shared" si="23"/>
        <v>1228</v>
      </c>
      <c r="P73" s="69">
        <f t="shared" si="23"/>
        <v>892</v>
      </c>
      <c r="Q73" s="69">
        <f t="shared" si="23"/>
        <v>976</v>
      </c>
      <c r="R73" s="69">
        <f t="shared" si="23"/>
        <v>1336</v>
      </c>
      <c r="S73" s="69">
        <f t="shared" si="23"/>
        <v>1368</v>
      </c>
      <c r="T73" s="69">
        <f t="shared" si="23"/>
        <v>1224</v>
      </c>
      <c r="U73" s="69">
        <f t="shared" si="23"/>
        <v>1172</v>
      </c>
      <c r="V73" s="69">
        <f t="shared" si="23"/>
        <v>1132</v>
      </c>
      <c r="W73" s="6">
        <f>SUM(Table1[[#This Row],[7:00-8:00]:[22:00-23:00]])</f>
        <v>18960</v>
      </c>
    </row>
    <row r="74" spans="1:23" x14ac:dyDescent="0.25">
      <c r="A74" s="2"/>
      <c r="B74" s="100">
        <v>9</v>
      </c>
      <c r="C74" s="102" t="s">
        <v>112</v>
      </c>
      <c r="D74" s="9" t="s">
        <v>24</v>
      </c>
      <c r="E74" s="29">
        <v>49</v>
      </c>
      <c r="F74" s="10" t="s">
        <v>113</v>
      </c>
      <c r="G74" s="10">
        <f>4*7</f>
        <v>28</v>
      </c>
      <c r="H74" s="10">
        <f>4*6</f>
        <v>24</v>
      </c>
      <c r="I74" s="10">
        <f>4*6</f>
        <v>24</v>
      </c>
      <c r="J74" s="10">
        <f>4*5</f>
        <v>20</v>
      </c>
      <c r="K74" s="10">
        <f>4*9</f>
        <v>36</v>
      </c>
      <c r="L74" s="10">
        <f>4*12</f>
        <v>48</v>
      </c>
      <c r="M74" s="10">
        <f>4*8</f>
        <v>32</v>
      </c>
      <c r="N74" s="10">
        <f>4*9</f>
        <v>36</v>
      </c>
      <c r="O74" s="10">
        <f>4*6</f>
        <v>24</v>
      </c>
      <c r="P74" s="10">
        <f>4*2</f>
        <v>8</v>
      </c>
      <c r="Q74" s="10">
        <f>4*5</f>
        <v>20</v>
      </c>
      <c r="R74" s="10">
        <f>4*0</f>
        <v>0</v>
      </c>
      <c r="S74" s="10">
        <f>4*5</f>
        <v>20</v>
      </c>
      <c r="T74" s="10">
        <f>4*7</f>
        <v>28</v>
      </c>
      <c r="U74" s="10">
        <f>4*5</f>
        <v>20</v>
      </c>
      <c r="V74" s="10">
        <v>0</v>
      </c>
      <c r="W74" s="11">
        <f>SUM(Table1[[#This Row],[7:00-8:00]:[22:00-23:00]])</f>
        <v>368</v>
      </c>
    </row>
    <row r="75" spans="1:23" x14ac:dyDescent="0.25">
      <c r="B75" s="101"/>
      <c r="C75" s="92"/>
      <c r="D75" s="5" t="s">
        <v>26</v>
      </c>
      <c r="E75" s="29">
        <v>50</v>
      </c>
      <c r="F75" s="2" t="s">
        <v>114</v>
      </c>
      <c r="G75" s="2">
        <f>4*6</f>
        <v>24</v>
      </c>
      <c r="H75" s="2">
        <f>4*8</f>
        <v>32</v>
      </c>
      <c r="I75" s="2">
        <f>4*5</f>
        <v>20</v>
      </c>
      <c r="J75" s="2">
        <f>4*2</f>
        <v>8</v>
      </c>
      <c r="K75" s="2">
        <f>4*6</f>
        <v>24</v>
      </c>
      <c r="L75" s="2">
        <f>4*8</f>
        <v>32</v>
      </c>
      <c r="M75" s="2">
        <f>4*7</f>
        <v>28</v>
      </c>
      <c r="N75" s="2">
        <f>4*11</f>
        <v>44</v>
      </c>
      <c r="O75" s="2">
        <f>4*10</f>
        <v>40</v>
      </c>
      <c r="P75" s="2">
        <f>4*10</f>
        <v>40</v>
      </c>
      <c r="Q75" s="2">
        <f>4*9</f>
        <v>36</v>
      </c>
      <c r="R75" s="2">
        <f>4*9</f>
        <v>36</v>
      </c>
      <c r="S75" s="2">
        <f>4*0</f>
        <v>0</v>
      </c>
      <c r="T75" s="2">
        <f>4*3</f>
        <v>12</v>
      </c>
      <c r="U75" s="2">
        <f>4*6</f>
        <v>24</v>
      </c>
      <c r="V75" s="2">
        <v>0</v>
      </c>
      <c r="W75" s="6">
        <f>SUM(Table1[[#This Row],[7:00-8:00]:[22:00-23:00]])</f>
        <v>400</v>
      </c>
    </row>
    <row r="76" spans="1:23" x14ac:dyDescent="0.25">
      <c r="B76" s="101"/>
      <c r="C76" s="92"/>
      <c r="D76" s="5" t="s">
        <v>28</v>
      </c>
      <c r="E76" s="29">
        <v>51</v>
      </c>
      <c r="F76" s="5" t="s">
        <v>115</v>
      </c>
      <c r="G76" s="2">
        <f>4*5</f>
        <v>20</v>
      </c>
      <c r="H76" s="2">
        <f>4*24</f>
        <v>96</v>
      </c>
      <c r="I76" s="2">
        <f>4*24</f>
        <v>96</v>
      </c>
      <c r="J76" s="2">
        <f>4*15</f>
        <v>60</v>
      </c>
      <c r="K76" s="2">
        <f>4*33</f>
        <v>132</v>
      </c>
      <c r="L76" s="2">
        <f>4*38</f>
        <v>152</v>
      </c>
      <c r="M76" s="2">
        <f>4*29</f>
        <v>116</v>
      </c>
      <c r="N76" s="2">
        <f>4*31</f>
        <v>124</v>
      </c>
      <c r="O76" s="2">
        <f>4*13</f>
        <v>52</v>
      </c>
      <c r="P76" s="2">
        <f>4*7</f>
        <v>28</v>
      </c>
      <c r="Q76" s="2">
        <f>4*10</f>
        <v>40</v>
      </c>
      <c r="R76" s="2">
        <f>4*33</f>
        <v>132</v>
      </c>
      <c r="S76" s="2">
        <f>4*5</f>
        <v>20</v>
      </c>
      <c r="T76" s="2">
        <f>4*12</f>
        <v>48</v>
      </c>
      <c r="U76" s="2">
        <f>4*9</f>
        <v>36</v>
      </c>
      <c r="V76" s="2">
        <f>4*15</f>
        <v>60</v>
      </c>
      <c r="W76" s="6">
        <f>SUM(Table1[[#This Row],[7:00-8:00]:[22:00-23:00]])</f>
        <v>1212</v>
      </c>
    </row>
    <row r="77" spans="1:23" x14ac:dyDescent="0.25">
      <c r="A77" s="3"/>
      <c r="B77" s="101"/>
      <c r="C77" s="92"/>
      <c r="D77" s="5" t="s">
        <v>30</v>
      </c>
      <c r="E77" s="28">
        <v>52</v>
      </c>
      <c r="F77" s="5" t="s">
        <v>116</v>
      </c>
      <c r="G77" s="2">
        <f>4*3</f>
        <v>12</v>
      </c>
      <c r="H77" s="15">
        <f>4*3</f>
        <v>12</v>
      </c>
      <c r="I77" s="2">
        <f>4*9</f>
        <v>36</v>
      </c>
      <c r="J77" s="2">
        <f>4*9</f>
        <v>36</v>
      </c>
      <c r="K77" s="2">
        <f>4*12</f>
        <v>48</v>
      </c>
      <c r="L77" s="2">
        <f>4*15</f>
        <v>60</v>
      </c>
      <c r="M77" s="2">
        <f>4*13</f>
        <v>52</v>
      </c>
      <c r="N77" s="2">
        <f>4*16</f>
        <v>64</v>
      </c>
      <c r="O77" s="2">
        <f>4*16</f>
        <v>64</v>
      </c>
      <c r="P77" s="2">
        <f>4*19</f>
        <v>76</v>
      </c>
      <c r="Q77" s="2">
        <f>4*16</f>
        <v>64</v>
      </c>
      <c r="R77" s="2">
        <f>0</f>
        <v>0</v>
      </c>
      <c r="S77" s="2">
        <f>4*3</f>
        <v>12</v>
      </c>
      <c r="T77" s="2">
        <f>4*16</f>
        <v>64</v>
      </c>
      <c r="U77" s="2">
        <f>4*3</f>
        <v>12</v>
      </c>
      <c r="V77" s="2">
        <f>4*15</f>
        <v>60</v>
      </c>
      <c r="W77" s="6">
        <f>SUM(Table1[[#This Row],[7:00-8:00]:[22:00-23:00]])</f>
        <v>672</v>
      </c>
    </row>
    <row r="78" spans="1:23" x14ac:dyDescent="0.25">
      <c r="A78" s="3"/>
      <c r="B78" s="101"/>
      <c r="C78" s="92"/>
      <c r="D78" s="5" t="s">
        <v>32</v>
      </c>
      <c r="E78" s="28">
        <v>53</v>
      </c>
      <c r="F78" s="26" t="s">
        <v>117</v>
      </c>
      <c r="G78" s="2">
        <f>4*54</f>
        <v>216</v>
      </c>
      <c r="H78" s="15">
        <f>4*147</f>
        <v>588</v>
      </c>
      <c r="I78" s="2">
        <f>4*237</f>
        <v>948</v>
      </c>
      <c r="J78" s="2">
        <f>4*268</f>
        <v>1072</v>
      </c>
      <c r="K78" s="2">
        <f>4*597</f>
        <v>2388</v>
      </c>
      <c r="L78" s="2">
        <f>4*584</f>
        <v>2336</v>
      </c>
      <c r="M78" s="2">
        <f>4*508</f>
        <v>2032</v>
      </c>
      <c r="N78" s="2">
        <f>4*516</f>
        <v>2064</v>
      </c>
      <c r="O78" s="2">
        <f>4*459</f>
        <v>1836</v>
      </c>
      <c r="P78" s="2">
        <f>4*369</f>
        <v>1476</v>
      </c>
      <c r="Q78" s="2">
        <f>4*690</f>
        <v>2760</v>
      </c>
      <c r="R78" s="2">
        <f>4*883</f>
        <v>3532</v>
      </c>
      <c r="S78" s="2">
        <f>4*291</f>
        <v>1164</v>
      </c>
      <c r="T78" s="2">
        <f>4*298</f>
        <v>1192</v>
      </c>
      <c r="U78" s="2">
        <f>4*282</f>
        <v>1128</v>
      </c>
      <c r="V78" s="2">
        <f>4*202</f>
        <v>808</v>
      </c>
      <c r="W78" s="6">
        <f>SUM(Table1[[#This Row],[7:00-8:00]:[22:00-23:00]])</f>
        <v>25540</v>
      </c>
    </row>
    <row r="79" spans="1:23" x14ac:dyDescent="0.25">
      <c r="A79" s="3"/>
      <c r="B79" s="101"/>
      <c r="C79" s="92"/>
      <c r="D79" s="5" t="s">
        <v>34</v>
      </c>
      <c r="E79" s="28">
        <v>54</v>
      </c>
      <c r="F79" s="26" t="s">
        <v>118</v>
      </c>
      <c r="G79" s="2">
        <f>4*31</f>
        <v>124</v>
      </c>
      <c r="H79" s="15">
        <f>4*105</f>
        <v>420</v>
      </c>
      <c r="I79" s="2">
        <f>4*250</f>
        <v>1000</v>
      </c>
      <c r="J79" s="2">
        <f>4*432</f>
        <v>1728</v>
      </c>
      <c r="K79" s="2">
        <f>4*507</f>
        <v>2028</v>
      </c>
      <c r="L79" s="2">
        <f>4*499</f>
        <v>1996</v>
      </c>
      <c r="M79" s="2">
        <f>4*442</f>
        <v>1768</v>
      </c>
      <c r="N79" s="2">
        <f>4*472</f>
        <v>1888</v>
      </c>
      <c r="O79" s="2">
        <f>4*538</f>
        <v>2152</v>
      </c>
      <c r="P79" s="2">
        <f>4*568</f>
        <v>2272</v>
      </c>
      <c r="Q79" s="2">
        <f>4*472</f>
        <v>1888</v>
      </c>
      <c r="R79" s="2">
        <f>4*409</f>
        <v>1636</v>
      </c>
      <c r="S79" s="2">
        <f>4*414</f>
        <v>1656</v>
      </c>
      <c r="T79" s="2">
        <f>4*336</f>
        <v>1344</v>
      </c>
      <c r="U79" s="2">
        <f>4*291</f>
        <v>1164</v>
      </c>
      <c r="V79" s="2">
        <f>4*267</f>
        <v>1068</v>
      </c>
      <c r="W79" s="6">
        <f>SUM(Table1[[#This Row],[7:00-8:00]:[22:00-23:00]])</f>
        <v>24132</v>
      </c>
    </row>
    <row r="80" spans="1:23" x14ac:dyDescent="0.25">
      <c r="A80" s="3"/>
      <c r="B80" s="101"/>
      <c r="C80" s="92"/>
      <c r="D80" s="5"/>
      <c r="E80" s="28"/>
      <c r="F80" s="53" t="s">
        <v>119</v>
      </c>
      <c r="G80" s="69">
        <f>G74+G79</f>
        <v>152</v>
      </c>
      <c r="H80" s="69">
        <f t="shared" ref="H80:V80" si="24">H74+H79</f>
        <v>444</v>
      </c>
      <c r="I80" s="69">
        <f t="shared" si="24"/>
        <v>1024</v>
      </c>
      <c r="J80" s="69">
        <f t="shared" si="24"/>
        <v>1748</v>
      </c>
      <c r="K80" s="69">
        <f t="shared" si="24"/>
        <v>2064</v>
      </c>
      <c r="L80" s="69">
        <f t="shared" si="24"/>
        <v>2044</v>
      </c>
      <c r="M80" s="69">
        <f t="shared" si="24"/>
        <v>1800</v>
      </c>
      <c r="N80" s="69">
        <f t="shared" si="24"/>
        <v>1924</v>
      </c>
      <c r="O80" s="69">
        <f t="shared" si="24"/>
        <v>2176</v>
      </c>
      <c r="P80" s="69">
        <f t="shared" si="24"/>
        <v>2280</v>
      </c>
      <c r="Q80" s="69">
        <f t="shared" si="24"/>
        <v>1908</v>
      </c>
      <c r="R80" s="69">
        <f t="shared" si="24"/>
        <v>1636</v>
      </c>
      <c r="S80" s="69">
        <f t="shared" si="24"/>
        <v>1676</v>
      </c>
      <c r="T80" s="69">
        <f t="shared" si="24"/>
        <v>1372</v>
      </c>
      <c r="U80" s="69">
        <f t="shared" si="24"/>
        <v>1184</v>
      </c>
      <c r="V80" s="69">
        <f t="shared" si="24"/>
        <v>1068</v>
      </c>
      <c r="W80" s="6">
        <f>SUM(Table1[[#This Row],[7:00-8:00]:[22:00-23:00]])</f>
        <v>24500</v>
      </c>
    </row>
    <row r="81" spans="1:23" x14ac:dyDescent="0.25">
      <c r="A81" s="3"/>
      <c r="B81" s="101"/>
      <c r="C81" s="92"/>
      <c r="D81" s="5"/>
      <c r="E81" s="28"/>
      <c r="F81" s="53" t="s">
        <v>120</v>
      </c>
      <c r="G81" s="69">
        <f>G76+G78</f>
        <v>236</v>
      </c>
      <c r="H81" s="69">
        <f t="shared" ref="H81:V81" si="25">H76+H78</f>
        <v>684</v>
      </c>
      <c r="I81" s="69">
        <f t="shared" si="25"/>
        <v>1044</v>
      </c>
      <c r="J81" s="69">
        <f t="shared" si="25"/>
        <v>1132</v>
      </c>
      <c r="K81" s="69">
        <f t="shared" si="25"/>
        <v>2520</v>
      </c>
      <c r="L81" s="69">
        <f t="shared" si="25"/>
        <v>2488</v>
      </c>
      <c r="M81" s="69">
        <f t="shared" si="25"/>
        <v>2148</v>
      </c>
      <c r="N81" s="69">
        <f t="shared" si="25"/>
        <v>2188</v>
      </c>
      <c r="O81" s="69">
        <f t="shared" si="25"/>
        <v>1888</v>
      </c>
      <c r="P81" s="69">
        <f t="shared" si="25"/>
        <v>1504</v>
      </c>
      <c r="Q81" s="69">
        <f t="shared" si="25"/>
        <v>2800</v>
      </c>
      <c r="R81" s="69">
        <f t="shared" si="25"/>
        <v>3664</v>
      </c>
      <c r="S81" s="69">
        <f t="shared" si="25"/>
        <v>1184</v>
      </c>
      <c r="T81" s="69">
        <f t="shared" si="25"/>
        <v>1240</v>
      </c>
      <c r="U81" s="69">
        <f t="shared" si="25"/>
        <v>1164</v>
      </c>
      <c r="V81" s="69">
        <f t="shared" si="25"/>
        <v>868</v>
      </c>
      <c r="W81" s="6">
        <f>SUM(Table1[[#This Row],[7:00-8:00]:[22:00-23:00]])</f>
        <v>26752</v>
      </c>
    </row>
    <row r="82" spans="1:23" x14ac:dyDescent="0.25">
      <c r="A82" s="3"/>
      <c r="B82" s="105"/>
      <c r="C82" s="104"/>
      <c r="D82" s="8"/>
      <c r="E82" s="30"/>
      <c r="F82" s="54" t="s">
        <v>121</v>
      </c>
      <c r="G82" s="51">
        <f>G75+G77</f>
        <v>36</v>
      </c>
      <c r="H82" s="51">
        <f t="shared" ref="H82:V82" si="26">H75+H77</f>
        <v>44</v>
      </c>
      <c r="I82" s="51">
        <f t="shared" si="26"/>
        <v>56</v>
      </c>
      <c r="J82" s="51">
        <f t="shared" si="26"/>
        <v>44</v>
      </c>
      <c r="K82" s="51">
        <f t="shared" si="26"/>
        <v>72</v>
      </c>
      <c r="L82" s="51">
        <f t="shared" si="26"/>
        <v>92</v>
      </c>
      <c r="M82" s="51">
        <f t="shared" si="26"/>
        <v>80</v>
      </c>
      <c r="N82" s="51">
        <f t="shared" si="26"/>
        <v>108</v>
      </c>
      <c r="O82" s="51">
        <f t="shared" si="26"/>
        <v>104</v>
      </c>
      <c r="P82" s="51">
        <f t="shared" si="26"/>
        <v>116</v>
      </c>
      <c r="Q82" s="51">
        <f t="shared" si="26"/>
        <v>100</v>
      </c>
      <c r="R82" s="51">
        <f t="shared" si="26"/>
        <v>36</v>
      </c>
      <c r="S82" s="51">
        <f t="shared" si="26"/>
        <v>12</v>
      </c>
      <c r="T82" s="51">
        <f t="shared" si="26"/>
        <v>76</v>
      </c>
      <c r="U82" s="51">
        <f t="shared" si="26"/>
        <v>36</v>
      </c>
      <c r="V82" s="51">
        <f t="shared" si="26"/>
        <v>60</v>
      </c>
      <c r="W82" s="7">
        <f>SUM(Table1[[#This Row],[7:00-8:00]:[22:00-23:00]])</f>
        <v>1072</v>
      </c>
    </row>
    <row r="83" spans="1:23" x14ac:dyDescent="0.25">
      <c r="A83" s="3"/>
      <c r="B83" s="100">
        <v>10</v>
      </c>
      <c r="C83" s="106" t="s">
        <v>122</v>
      </c>
      <c r="D83" s="9" t="s">
        <v>24</v>
      </c>
      <c r="E83" s="28">
        <v>55</v>
      </c>
      <c r="F83" s="17" t="s">
        <v>123</v>
      </c>
      <c r="G83" s="10">
        <f>4*3</f>
        <v>12</v>
      </c>
      <c r="H83" s="18">
        <f>4*12</f>
        <v>48</v>
      </c>
      <c r="I83" s="10">
        <f>4*21</f>
        <v>84</v>
      </c>
      <c r="J83" s="10">
        <f>4*36</f>
        <v>144</v>
      </c>
      <c r="K83" s="10">
        <f>4*34</f>
        <v>136</v>
      </c>
      <c r="L83" s="10">
        <f>4*41</f>
        <v>164</v>
      </c>
      <c r="M83" s="10">
        <f>4*19</f>
        <v>76</v>
      </c>
      <c r="N83" s="10">
        <f>4*66</f>
        <v>264</v>
      </c>
      <c r="O83" s="10">
        <f>4*27</f>
        <v>108</v>
      </c>
      <c r="P83" s="10">
        <f>4*24</f>
        <v>96</v>
      </c>
      <c r="Q83" s="10">
        <f>4*43</f>
        <v>172</v>
      </c>
      <c r="R83" s="10">
        <f>4*36</f>
        <v>144</v>
      </c>
      <c r="S83" s="10">
        <f>4*13</f>
        <v>52</v>
      </c>
      <c r="T83" s="10">
        <f>4*13</f>
        <v>52</v>
      </c>
      <c r="U83" s="10">
        <f>4*27</f>
        <v>108</v>
      </c>
      <c r="V83" s="10">
        <f>4*12</f>
        <v>48</v>
      </c>
      <c r="W83" s="11">
        <f>SUM(Table1[[#This Row],[7:00-8:00]:[22:00-23:00]])</f>
        <v>1708</v>
      </c>
    </row>
    <row r="84" spans="1:23" x14ac:dyDescent="0.25">
      <c r="A84" s="3"/>
      <c r="B84" s="101"/>
      <c r="C84" s="107"/>
      <c r="D84" s="5" t="s">
        <v>26</v>
      </c>
      <c r="E84" s="29">
        <v>56</v>
      </c>
      <c r="F84" s="13" t="s">
        <v>124</v>
      </c>
      <c r="G84" s="2">
        <f>4*7</f>
        <v>28</v>
      </c>
      <c r="H84" s="15">
        <f>4*14</f>
        <v>56</v>
      </c>
      <c r="I84" s="2">
        <f>4*21</f>
        <v>84</v>
      </c>
      <c r="J84" s="2">
        <f>4*21</f>
        <v>84</v>
      </c>
      <c r="K84" s="2">
        <f>4*48</f>
        <v>192</v>
      </c>
      <c r="L84" s="2">
        <f>4*53</f>
        <v>212</v>
      </c>
      <c r="M84" s="2">
        <f>4*81</f>
        <v>324</v>
      </c>
      <c r="N84" s="2">
        <f>4*67</f>
        <v>268</v>
      </c>
      <c r="O84" s="2">
        <f>4*39</f>
        <v>156</v>
      </c>
      <c r="P84" s="2">
        <f>4*38</f>
        <v>152</v>
      </c>
      <c r="Q84" s="2">
        <f>4*51</f>
        <v>204</v>
      </c>
      <c r="R84" s="2">
        <f>4*40</f>
        <v>160</v>
      </c>
      <c r="S84" s="2">
        <f>4*28</f>
        <v>112</v>
      </c>
      <c r="T84" s="2">
        <f>4*60</f>
        <v>240</v>
      </c>
      <c r="U84" s="2">
        <f>4*15</f>
        <v>60</v>
      </c>
      <c r="V84" s="2">
        <f>4*9</f>
        <v>36</v>
      </c>
      <c r="W84" s="6">
        <f>SUM(Table1[[#This Row],[7:00-8:00]:[22:00-23:00]])</f>
        <v>2368</v>
      </c>
    </row>
    <row r="85" spans="1:23" x14ac:dyDescent="0.25">
      <c r="A85" s="3"/>
      <c r="B85" s="101"/>
      <c r="C85" s="107"/>
      <c r="D85" s="5" t="s">
        <v>28</v>
      </c>
      <c r="E85" s="28">
        <v>57</v>
      </c>
      <c r="F85" s="13" t="s">
        <v>125</v>
      </c>
      <c r="G85" s="2">
        <f>4*9</f>
        <v>36</v>
      </c>
      <c r="H85" s="15">
        <f>4*9</f>
        <v>36</v>
      </c>
      <c r="I85" s="2">
        <f>4*24</f>
        <v>96</v>
      </c>
      <c r="J85" s="2">
        <f>4*12</f>
        <v>48</v>
      </c>
      <c r="K85" s="2">
        <f>4*24</f>
        <v>96</v>
      </c>
      <c r="L85" s="2">
        <f>4*32</f>
        <v>128</v>
      </c>
      <c r="M85" s="2">
        <f>4*45</f>
        <v>180</v>
      </c>
      <c r="N85" s="2">
        <f>4*28</f>
        <v>112</v>
      </c>
      <c r="O85" s="2">
        <f>4*16</f>
        <v>64</v>
      </c>
      <c r="P85" s="2">
        <f>4*17</f>
        <v>68</v>
      </c>
      <c r="Q85" s="2">
        <f>4*45</f>
        <v>180</v>
      </c>
      <c r="R85" s="2">
        <f>4*19</f>
        <v>76</v>
      </c>
      <c r="S85" s="2">
        <f>4*19</f>
        <v>76</v>
      </c>
      <c r="T85" s="2">
        <f>4*18</f>
        <v>72</v>
      </c>
      <c r="U85" s="2">
        <f>4*16</f>
        <v>64</v>
      </c>
      <c r="V85" s="2">
        <f>4*9</f>
        <v>36</v>
      </c>
      <c r="W85" s="6">
        <f>SUM(Table1[[#This Row],[7:00-8:00]:[22:00-23:00]])</f>
        <v>1368</v>
      </c>
    </row>
    <row r="86" spans="1:23" x14ac:dyDescent="0.25">
      <c r="A86" s="3"/>
      <c r="B86" s="101"/>
      <c r="C86" s="107"/>
      <c r="D86" s="5" t="s">
        <v>30</v>
      </c>
      <c r="E86" s="29">
        <v>58</v>
      </c>
      <c r="F86" s="13" t="s">
        <v>126</v>
      </c>
      <c r="G86" s="2">
        <f>4*19</f>
        <v>76</v>
      </c>
      <c r="H86" s="15">
        <f>4*21</f>
        <v>84</v>
      </c>
      <c r="I86" s="2">
        <f>4*28</f>
        <v>112</v>
      </c>
      <c r="J86" s="2">
        <f>4*40</f>
        <v>160</v>
      </c>
      <c r="K86" s="2">
        <f>4*30</f>
        <v>120</v>
      </c>
      <c r="L86" s="2">
        <f>4*36</f>
        <v>144</v>
      </c>
      <c r="M86" s="2">
        <f>4*15</f>
        <v>60</v>
      </c>
      <c r="N86" s="2">
        <f>4*51</f>
        <v>204</v>
      </c>
      <c r="O86" s="2">
        <f>4*34</f>
        <v>136</v>
      </c>
      <c r="P86" s="2">
        <f>4*36</f>
        <v>144</v>
      </c>
      <c r="Q86" s="2">
        <f>4*27</f>
        <v>108</v>
      </c>
      <c r="R86" s="2">
        <f>4*30</f>
        <v>120</v>
      </c>
      <c r="S86" s="2">
        <f>4*55</f>
        <v>220</v>
      </c>
      <c r="T86" s="2">
        <f>4*39</f>
        <v>156</v>
      </c>
      <c r="U86" s="2">
        <f>4*6</f>
        <v>24</v>
      </c>
      <c r="V86" s="2">
        <f>4*5</f>
        <v>20</v>
      </c>
      <c r="W86" s="6">
        <f>SUM(Table1[[#This Row],[7:00-8:00]:[22:00-23:00]])</f>
        <v>1888</v>
      </c>
    </row>
    <row r="87" spans="1:23" x14ac:dyDescent="0.25">
      <c r="A87" s="3"/>
      <c r="B87" s="101"/>
      <c r="C87" s="107"/>
      <c r="D87" s="5" t="s">
        <v>32</v>
      </c>
      <c r="E87" s="28">
        <v>59</v>
      </c>
      <c r="F87" s="26" t="s">
        <v>117</v>
      </c>
      <c r="G87" s="2">
        <f>4*61</f>
        <v>244</v>
      </c>
      <c r="H87" s="15">
        <f>4*81</f>
        <v>324</v>
      </c>
      <c r="I87" s="2">
        <f>4*132</f>
        <v>528</v>
      </c>
      <c r="J87" s="2">
        <f>4*192</f>
        <v>768</v>
      </c>
      <c r="K87" s="2">
        <f>4*306</f>
        <v>1224</v>
      </c>
      <c r="L87" s="2">
        <f>4*369</f>
        <v>1476</v>
      </c>
      <c r="M87" s="2">
        <f>4*436</f>
        <v>1744</v>
      </c>
      <c r="N87" s="2">
        <f>4*330</f>
        <v>1320</v>
      </c>
      <c r="O87" s="2">
        <f>4*340</f>
        <v>1360</v>
      </c>
      <c r="P87" s="2">
        <f>4*361</f>
        <v>1444</v>
      </c>
      <c r="Q87" s="2">
        <f>4*667</f>
        <v>2668</v>
      </c>
      <c r="R87" s="2">
        <f>4*820</f>
        <v>3280</v>
      </c>
      <c r="S87" s="2">
        <f>4*438</f>
        <v>1752</v>
      </c>
      <c r="T87" s="2">
        <f>4*223</f>
        <v>892</v>
      </c>
      <c r="U87" s="2">
        <f>4*310</f>
        <v>1240</v>
      </c>
      <c r="V87" s="2">
        <f>4*186</f>
        <v>744</v>
      </c>
      <c r="W87" s="6">
        <f>SUM(Table1[[#This Row],[7:00-8:00]:[22:00-23:00]])</f>
        <v>21008</v>
      </c>
    </row>
    <row r="88" spans="1:23" x14ac:dyDescent="0.25">
      <c r="A88" s="3"/>
      <c r="B88" s="101"/>
      <c r="C88" s="107"/>
      <c r="D88" s="5" t="s">
        <v>34</v>
      </c>
      <c r="E88" s="29">
        <v>60</v>
      </c>
      <c r="F88" s="26" t="s">
        <v>118</v>
      </c>
      <c r="G88" s="2">
        <f>4*42</f>
        <v>168</v>
      </c>
      <c r="H88" s="15">
        <f>4*124</f>
        <v>496</v>
      </c>
      <c r="I88" s="2">
        <f>4*252</f>
        <v>1008</v>
      </c>
      <c r="J88" s="2">
        <f>4*387</f>
        <v>1548</v>
      </c>
      <c r="K88" s="2">
        <f>4*523</f>
        <v>2092</v>
      </c>
      <c r="L88" s="2">
        <f>4*541</f>
        <v>2164</v>
      </c>
      <c r="M88" s="2">
        <f>4*489</f>
        <v>1956</v>
      </c>
      <c r="N88" s="2">
        <f>4*339</f>
        <v>1356</v>
      </c>
      <c r="O88" s="2">
        <f>4*307</f>
        <v>1228</v>
      </c>
      <c r="P88" s="2">
        <f>4*321</f>
        <v>1284</v>
      </c>
      <c r="Q88" s="2">
        <f>4*354</f>
        <v>1416</v>
      </c>
      <c r="R88" s="2">
        <f>4*318</f>
        <v>1272</v>
      </c>
      <c r="S88" s="2">
        <f>4*544</f>
        <v>2176</v>
      </c>
      <c r="T88" s="2">
        <f>4*240</f>
        <v>960</v>
      </c>
      <c r="U88" s="2">
        <f>4*252</f>
        <v>1008</v>
      </c>
      <c r="V88" s="2">
        <f>4*300</f>
        <v>1200</v>
      </c>
      <c r="W88" s="6">
        <f>SUM(Table1[[#This Row],[7:00-8:00]:[22:00-23:00]])</f>
        <v>21332</v>
      </c>
    </row>
    <row r="89" spans="1:23" x14ac:dyDescent="0.25">
      <c r="A89" s="3"/>
      <c r="B89" s="101"/>
      <c r="C89" s="107"/>
      <c r="D89" s="5"/>
      <c r="E89" s="28"/>
      <c r="F89" s="53" t="s">
        <v>119</v>
      </c>
      <c r="G89" s="69">
        <f>G83+G88</f>
        <v>180</v>
      </c>
      <c r="H89" s="69">
        <f t="shared" ref="H89:V89" si="27">H83+H88</f>
        <v>544</v>
      </c>
      <c r="I89" s="69">
        <f t="shared" si="27"/>
        <v>1092</v>
      </c>
      <c r="J89" s="69">
        <f t="shared" si="27"/>
        <v>1692</v>
      </c>
      <c r="K89" s="69">
        <f t="shared" si="27"/>
        <v>2228</v>
      </c>
      <c r="L89" s="69">
        <f t="shared" si="27"/>
        <v>2328</v>
      </c>
      <c r="M89" s="69">
        <f t="shared" si="27"/>
        <v>2032</v>
      </c>
      <c r="N89" s="69">
        <f t="shared" si="27"/>
        <v>1620</v>
      </c>
      <c r="O89" s="69">
        <f t="shared" si="27"/>
        <v>1336</v>
      </c>
      <c r="P89" s="69">
        <f t="shared" si="27"/>
        <v>1380</v>
      </c>
      <c r="Q89" s="69">
        <f t="shared" si="27"/>
        <v>1588</v>
      </c>
      <c r="R89" s="69">
        <f t="shared" si="27"/>
        <v>1416</v>
      </c>
      <c r="S89" s="69">
        <f t="shared" si="27"/>
        <v>2228</v>
      </c>
      <c r="T89" s="69">
        <f t="shared" si="27"/>
        <v>1012</v>
      </c>
      <c r="U89" s="69">
        <f t="shared" si="27"/>
        <v>1116</v>
      </c>
      <c r="V89" s="69">
        <f t="shared" si="27"/>
        <v>1248</v>
      </c>
      <c r="W89" s="6">
        <f>SUM(Table1[[#This Row],[7:00-8:00]:[22:00-23:00]])</f>
        <v>23040</v>
      </c>
    </row>
    <row r="90" spans="1:23" x14ac:dyDescent="0.25">
      <c r="A90" s="3"/>
      <c r="B90" s="101"/>
      <c r="C90" s="107"/>
      <c r="D90" s="5"/>
      <c r="E90" s="28"/>
      <c r="F90" s="53" t="s">
        <v>120</v>
      </c>
      <c r="G90" s="69">
        <f>G85+G87</f>
        <v>280</v>
      </c>
      <c r="H90" s="69">
        <f t="shared" ref="H90:V90" si="28">H85+H87</f>
        <v>360</v>
      </c>
      <c r="I90" s="69">
        <f t="shared" si="28"/>
        <v>624</v>
      </c>
      <c r="J90" s="69">
        <f t="shared" si="28"/>
        <v>816</v>
      </c>
      <c r="K90" s="69">
        <f t="shared" si="28"/>
        <v>1320</v>
      </c>
      <c r="L90" s="69">
        <f t="shared" si="28"/>
        <v>1604</v>
      </c>
      <c r="M90" s="69">
        <f t="shared" si="28"/>
        <v>1924</v>
      </c>
      <c r="N90" s="69">
        <f t="shared" si="28"/>
        <v>1432</v>
      </c>
      <c r="O90" s="69">
        <f t="shared" si="28"/>
        <v>1424</v>
      </c>
      <c r="P90" s="69">
        <f t="shared" si="28"/>
        <v>1512</v>
      </c>
      <c r="Q90" s="69">
        <f t="shared" si="28"/>
        <v>2848</v>
      </c>
      <c r="R90" s="69">
        <f t="shared" si="28"/>
        <v>3356</v>
      </c>
      <c r="S90" s="69">
        <f t="shared" si="28"/>
        <v>1828</v>
      </c>
      <c r="T90" s="69">
        <f t="shared" si="28"/>
        <v>964</v>
      </c>
      <c r="U90" s="69">
        <f t="shared" si="28"/>
        <v>1304</v>
      </c>
      <c r="V90" s="69">
        <f t="shared" si="28"/>
        <v>780</v>
      </c>
      <c r="W90" s="6">
        <f>SUM(Table1[[#This Row],[7:00-8:00]:[22:00-23:00]])</f>
        <v>22376</v>
      </c>
    </row>
    <row r="91" spans="1:23" x14ac:dyDescent="0.25">
      <c r="A91" s="3"/>
      <c r="B91" s="105"/>
      <c r="C91" s="108"/>
      <c r="D91" s="8"/>
      <c r="E91" s="30"/>
      <c r="F91" s="54" t="s">
        <v>127</v>
      </c>
      <c r="G91" s="51">
        <f>G84+G86</f>
        <v>104</v>
      </c>
      <c r="H91" s="51">
        <f t="shared" ref="H91:V91" si="29">H84+H86</f>
        <v>140</v>
      </c>
      <c r="I91" s="51">
        <f t="shared" si="29"/>
        <v>196</v>
      </c>
      <c r="J91" s="51">
        <f t="shared" si="29"/>
        <v>244</v>
      </c>
      <c r="K91" s="51">
        <f t="shared" si="29"/>
        <v>312</v>
      </c>
      <c r="L91" s="51">
        <f t="shared" si="29"/>
        <v>356</v>
      </c>
      <c r="M91" s="51">
        <f t="shared" si="29"/>
        <v>384</v>
      </c>
      <c r="N91" s="51">
        <f t="shared" si="29"/>
        <v>472</v>
      </c>
      <c r="O91" s="51">
        <f t="shared" si="29"/>
        <v>292</v>
      </c>
      <c r="P91" s="51">
        <f t="shared" si="29"/>
        <v>296</v>
      </c>
      <c r="Q91" s="51">
        <f t="shared" si="29"/>
        <v>312</v>
      </c>
      <c r="R91" s="51">
        <f t="shared" si="29"/>
        <v>280</v>
      </c>
      <c r="S91" s="51">
        <f t="shared" si="29"/>
        <v>332</v>
      </c>
      <c r="T91" s="51">
        <f t="shared" si="29"/>
        <v>396</v>
      </c>
      <c r="U91" s="51">
        <f t="shared" si="29"/>
        <v>84</v>
      </c>
      <c r="V91" s="51">
        <f t="shared" si="29"/>
        <v>56</v>
      </c>
      <c r="W91" s="7">
        <f>SUM(Table1[[#This Row],[7:00-8:00]:[22:00-23:00]])</f>
        <v>4256</v>
      </c>
    </row>
    <row r="92" spans="1:23" x14ac:dyDescent="0.25">
      <c r="A92" s="3"/>
      <c r="B92" s="100">
        <v>11</v>
      </c>
      <c r="C92" s="106" t="s">
        <v>128</v>
      </c>
      <c r="D92" s="9" t="s">
        <v>24</v>
      </c>
      <c r="E92" s="28">
        <v>61</v>
      </c>
      <c r="F92" s="17" t="s">
        <v>129</v>
      </c>
      <c r="G92" s="10">
        <f>4*2</f>
        <v>8</v>
      </c>
      <c r="H92" s="18">
        <f>4*19</f>
        <v>76</v>
      </c>
      <c r="I92" s="10">
        <f>4*33</f>
        <v>132</v>
      </c>
      <c r="J92" s="10">
        <f>4*49</f>
        <v>196</v>
      </c>
      <c r="K92" s="10">
        <f>4*37</f>
        <v>148</v>
      </c>
      <c r="L92" s="10">
        <f>4*35</f>
        <v>140</v>
      </c>
      <c r="M92" s="10">
        <f>4*99</f>
        <v>396</v>
      </c>
      <c r="N92" s="10">
        <f>4*66</f>
        <v>264</v>
      </c>
      <c r="O92" s="10">
        <f>4*55</f>
        <v>220</v>
      </c>
      <c r="P92" s="10">
        <f>4*34</f>
        <v>136</v>
      </c>
      <c r="Q92" s="10">
        <f>4*37</f>
        <v>148</v>
      </c>
      <c r="R92" s="10">
        <f>4*32</f>
        <v>128</v>
      </c>
      <c r="S92" s="10">
        <f>4*31</f>
        <v>124</v>
      </c>
      <c r="T92" s="10">
        <f>4*49</f>
        <v>196</v>
      </c>
      <c r="U92" s="10">
        <f>4*13</f>
        <v>52</v>
      </c>
      <c r="V92" s="10">
        <f>4*7</f>
        <v>28</v>
      </c>
      <c r="W92" s="11">
        <f>SUM(Table1[[#This Row],[7:00-8:00]:[22:00-23:00]])</f>
        <v>2392</v>
      </c>
    </row>
    <row r="93" spans="1:23" x14ac:dyDescent="0.25">
      <c r="A93" s="3"/>
      <c r="B93" s="101"/>
      <c r="C93" s="107"/>
      <c r="D93" s="5" t="s">
        <v>26</v>
      </c>
      <c r="E93" s="29">
        <v>62</v>
      </c>
      <c r="F93" s="13" t="s">
        <v>130</v>
      </c>
      <c r="G93" s="2">
        <f>4*3</f>
        <v>12</v>
      </c>
      <c r="H93" s="15">
        <f>4*12</f>
        <v>48</v>
      </c>
      <c r="I93" s="2">
        <f>4*27</f>
        <v>108</v>
      </c>
      <c r="J93" s="2">
        <f>4*12</f>
        <v>48</v>
      </c>
      <c r="K93" s="2">
        <f>4*30</f>
        <v>120</v>
      </c>
      <c r="L93" s="2">
        <f>4*27</f>
        <v>108</v>
      </c>
      <c r="M93" s="2">
        <f>4*18</f>
        <v>72</v>
      </c>
      <c r="N93" s="2">
        <f>4*25</f>
        <v>100</v>
      </c>
      <c r="O93" s="2">
        <f>4*27</f>
        <v>108</v>
      </c>
      <c r="P93" s="2">
        <f>4*24</f>
        <v>96</v>
      </c>
      <c r="Q93" s="2">
        <f>4*21</f>
        <v>84</v>
      </c>
      <c r="R93" s="2">
        <f>4*23</f>
        <v>92</v>
      </c>
      <c r="S93" s="2">
        <f>4*21</f>
        <v>84</v>
      </c>
      <c r="T93" s="2">
        <f>4*3</f>
        <v>12</v>
      </c>
      <c r="U93" s="2">
        <f>4*6</f>
        <v>24</v>
      </c>
      <c r="V93" s="2">
        <f>4*6</f>
        <v>24</v>
      </c>
      <c r="W93" s="6">
        <f>SUM(Table1[[#This Row],[7:00-8:00]:[22:00-23:00]])</f>
        <v>1140</v>
      </c>
    </row>
    <row r="94" spans="1:23" x14ac:dyDescent="0.25">
      <c r="A94" s="3"/>
      <c r="B94" s="101"/>
      <c r="C94" s="107"/>
      <c r="D94" s="5" t="s">
        <v>54</v>
      </c>
      <c r="E94" s="28">
        <v>63</v>
      </c>
      <c r="F94" s="13" t="s">
        <v>131</v>
      </c>
      <c r="G94" s="2">
        <f>4*58</f>
        <v>232</v>
      </c>
      <c r="H94" s="15">
        <f>4*93</f>
        <v>372</v>
      </c>
      <c r="I94" s="2">
        <f>4*153</f>
        <v>612</v>
      </c>
      <c r="J94" s="2">
        <f>4*435</f>
        <v>1740</v>
      </c>
      <c r="K94" s="2">
        <f>4*624</f>
        <v>2496</v>
      </c>
      <c r="L94" s="2">
        <f>4*579</f>
        <v>2316</v>
      </c>
      <c r="M94" s="2">
        <f>4*541</f>
        <v>2164</v>
      </c>
      <c r="N94" s="2">
        <f>4*898</f>
        <v>3592</v>
      </c>
      <c r="O94" s="2">
        <f>4*337</f>
        <v>1348</v>
      </c>
      <c r="P94" s="2">
        <f>4*612</f>
        <v>2448</v>
      </c>
      <c r="Q94" s="2">
        <f>4*351</f>
        <v>1404</v>
      </c>
      <c r="R94" s="2">
        <f>4*402</f>
        <v>1608</v>
      </c>
      <c r="S94" s="2">
        <f>4*567</f>
        <v>2268</v>
      </c>
      <c r="T94" s="2">
        <f>4*280</f>
        <v>1120</v>
      </c>
      <c r="U94" s="2">
        <f>4*265</f>
        <v>1060</v>
      </c>
      <c r="V94" s="2">
        <f>4*330</f>
        <v>1320</v>
      </c>
      <c r="W94" s="6">
        <f>SUM(Table1[[#This Row],[7:00-8:00]:[22:00-23:00]])</f>
        <v>26100</v>
      </c>
    </row>
    <row r="95" spans="1:23" x14ac:dyDescent="0.25">
      <c r="A95" s="3"/>
      <c r="B95" s="101"/>
      <c r="C95" s="107"/>
      <c r="D95" s="5" t="s">
        <v>56</v>
      </c>
      <c r="E95" s="29">
        <v>64</v>
      </c>
      <c r="F95" s="13" t="s">
        <v>132</v>
      </c>
      <c r="G95" s="2">
        <f>4*40</f>
        <v>160</v>
      </c>
      <c r="H95" s="15">
        <f>4*94</f>
        <v>376</v>
      </c>
      <c r="I95" s="2">
        <f>4*85</f>
        <v>340</v>
      </c>
      <c r="J95" s="2">
        <f>4*160</f>
        <v>640</v>
      </c>
      <c r="K95" s="2">
        <f>4*387</f>
        <v>1548</v>
      </c>
      <c r="L95" s="2">
        <f>4*362</f>
        <v>1448</v>
      </c>
      <c r="M95" s="2">
        <f>4*495</f>
        <v>1980</v>
      </c>
      <c r="N95" s="2">
        <f>4*474</f>
        <v>1896</v>
      </c>
      <c r="O95" s="2">
        <f>4*582</f>
        <v>2328</v>
      </c>
      <c r="P95" s="2">
        <f>4*738</f>
        <v>2952</v>
      </c>
      <c r="Q95" s="2">
        <f>4*568</f>
        <v>2272</v>
      </c>
      <c r="R95" s="2">
        <f>4*512</f>
        <v>2048</v>
      </c>
      <c r="S95" s="2">
        <f>4*390</f>
        <v>1560</v>
      </c>
      <c r="T95" s="2">
        <f>4*289</f>
        <v>1156</v>
      </c>
      <c r="U95" s="2">
        <f>4*354</f>
        <v>1416</v>
      </c>
      <c r="V95" s="2">
        <f>4*393</f>
        <v>1572</v>
      </c>
      <c r="W95" s="6">
        <f>SUM(Table1[[#This Row],[7:00-8:00]:[22:00-23:00]])</f>
        <v>23692</v>
      </c>
    </row>
    <row r="96" spans="1:23" x14ac:dyDescent="0.25">
      <c r="A96" s="3"/>
      <c r="B96" s="101"/>
      <c r="C96" s="107"/>
      <c r="D96" s="5" t="s">
        <v>133</v>
      </c>
      <c r="E96" s="28">
        <v>65</v>
      </c>
      <c r="F96" s="13" t="s">
        <v>134</v>
      </c>
      <c r="G96" s="2">
        <f>4*13</f>
        <v>52</v>
      </c>
      <c r="H96" s="15">
        <f>4*9</f>
        <v>36</v>
      </c>
      <c r="I96" s="2">
        <f>4*16</f>
        <v>64</v>
      </c>
      <c r="J96" s="2">
        <f>4*28</f>
        <v>112</v>
      </c>
      <c r="K96" s="2">
        <f>4*48</f>
        <v>192</v>
      </c>
      <c r="L96" s="2">
        <f>4*44</f>
        <v>176</v>
      </c>
      <c r="M96" s="2">
        <f>4*27</f>
        <v>108</v>
      </c>
      <c r="N96" s="2">
        <f>4*16</f>
        <v>64</v>
      </c>
      <c r="O96" s="2">
        <f>4*24</f>
        <v>96</v>
      </c>
      <c r="P96" s="2">
        <f>4*66</f>
        <v>264</v>
      </c>
      <c r="Q96" s="2">
        <f>4*25</f>
        <v>100</v>
      </c>
      <c r="R96" s="2">
        <f>4*27</f>
        <v>108</v>
      </c>
      <c r="S96" s="2">
        <f>4*34</f>
        <v>136</v>
      </c>
      <c r="T96" s="2">
        <f>4*28</f>
        <v>112</v>
      </c>
      <c r="U96" s="2">
        <f>4*6</f>
        <v>24</v>
      </c>
      <c r="V96" s="2">
        <f>4*49</f>
        <v>196</v>
      </c>
      <c r="W96" s="6">
        <f>SUM(Table1[[#This Row],[7:00-8:00]:[22:00-23:00]])</f>
        <v>1840</v>
      </c>
    </row>
    <row r="97" spans="1:23" x14ac:dyDescent="0.25">
      <c r="A97" s="3"/>
      <c r="B97" s="101"/>
      <c r="C97" s="107"/>
      <c r="D97" s="5" t="s">
        <v>135</v>
      </c>
      <c r="E97" s="29">
        <v>66</v>
      </c>
      <c r="F97" s="13" t="s">
        <v>136</v>
      </c>
      <c r="G97" s="2">
        <f>4*10</f>
        <v>40</v>
      </c>
      <c r="H97" s="15">
        <f>4*6</f>
        <v>24</v>
      </c>
      <c r="I97" s="2">
        <f>4*57</f>
        <v>228</v>
      </c>
      <c r="J97" s="2">
        <f>4*36</f>
        <v>144</v>
      </c>
      <c r="K97" s="2">
        <f>4*36</f>
        <v>144</v>
      </c>
      <c r="L97" s="2">
        <f>4*40</f>
        <v>160</v>
      </c>
      <c r="M97" s="2">
        <f>4*100</f>
        <v>400</v>
      </c>
      <c r="N97" s="2">
        <f>4*69</f>
        <v>276</v>
      </c>
      <c r="O97" s="2">
        <f>4*36</f>
        <v>144</v>
      </c>
      <c r="P97" s="2">
        <f>4*73</f>
        <v>292</v>
      </c>
      <c r="Q97" s="2">
        <f>4*46</f>
        <v>184</v>
      </c>
      <c r="R97" s="2">
        <f>4*51</f>
        <v>204</v>
      </c>
      <c r="S97" s="2">
        <f>4*48</f>
        <v>192</v>
      </c>
      <c r="T97" s="2">
        <f>4*49</f>
        <v>196</v>
      </c>
      <c r="U97" s="2">
        <f>4*18</f>
        <v>72</v>
      </c>
      <c r="V97" s="2">
        <f>4*21</f>
        <v>84</v>
      </c>
      <c r="W97" s="6">
        <f>SUM(Table1[[#This Row],[7:00-8:00]:[22:00-23:00]])</f>
        <v>2784</v>
      </c>
    </row>
    <row r="98" spans="1:23" x14ac:dyDescent="0.25">
      <c r="A98" s="3"/>
      <c r="B98" s="101"/>
      <c r="C98" s="107"/>
      <c r="D98" s="5"/>
      <c r="E98" s="29"/>
      <c r="F98" s="48" t="s">
        <v>137</v>
      </c>
      <c r="G98" s="69">
        <f>G93+G96</f>
        <v>64</v>
      </c>
      <c r="H98" s="69">
        <f t="shared" ref="H98:V98" si="30">H93+H96</f>
        <v>84</v>
      </c>
      <c r="I98" s="69">
        <f t="shared" si="30"/>
        <v>172</v>
      </c>
      <c r="J98" s="69">
        <f t="shared" si="30"/>
        <v>160</v>
      </c>
      <c r="K98" s="69">
        <f t="shared" si="30"/>
        <v>312</v>
      </c>
      <c r="L98" s="69">
        <f t="shared" si="30"/>
        <v>284</v>
      </c>
      <c r="M98" s="69">
        <f t="shared" si="30"/>
        <v>180</v>
      </c>
      <c r="N98" s="69">
        <f t="shared" si="30"/>
        <v>164</v>
      </c>
      <c r="O98" s="69">
        <f t="shared" si="30"/>
        <v>204</v>
      </c>
      <c r="P98" s="69">
        <f t="shared" si="30"/>
        <v>360</v>
      </c>
      <c r="Q98" s="69">
        <f t="shared" si="30"/>
        <v>184</v>
      </c>
      <c r="R98" s="69">
        <f t="shared" si="30"/>
        <v>200</v>
      </c>
      <c r="S98" s="69">
        <f t="shared" si="30"/>
        <v>220</v>
      </c>
      <c r="T98" s="69">
        <f t="shared" si="30"/>
        <v>124</v>
      </c>
      <c r="U98" s="69">
        <f t="shared" si="30"/>
        <v>48</v>
      </c>
      <c r="V98" s="69">
        <f t="shared" si="30"/>
        <v>220</v>
      </c>
      <c r="W98" s="6">
        <f>SUM(Table1[[#This Row],[7:00-8:00]:[22:00-23:00]])</f>
        <v>2980</v>
      </c>
    </row>
    <row r="99" spans="1:23" x14ac:dyDescent="0.25">
      <c r="A99" s="3"/>
      <c r="B99" s="101"/>
      <c r="C99" s="107"/>
      <c r="D99" s="5"/>
      <c r="E99" s="29"/>
      <c r="F99" s="48" t="s">
        <v>138</v>
      </c>
      <c r="G99" s="69">
        <f>G92+G94</f>
        <v>240</v>
      </c>
      <c r="H99" s="69">
        <f t="shared" ref="H99:V99" si="31">H92+H94</f>
        <v>448</v>
      </c>
      <c r="I99" s="69">
        <f t="shared" si="31"/>
        <v>744</v>
      </c>
      <c r="J99" s="69">
        <f t="shared" si="31"/>
        <v>1936</v>
      </c>
      <c r="K99" s="69">
        <f t="shared" si="31"/>
        <v>2644</v>
      </c>
      <c r="L99" s="69">
        <f t="shared" si="31"/>
        <v>2456</v>
      </c>
      <c r="M99" s="69">
        <f t="shared" si="31"/>
        <v>2560</v>
      </c>
      <c r="N99" s="69">
        <f t="shared" si="31"/>
        <v>3856</v>
      </c>
      <c r="O99" s="69">
        <f t="shared" si="31"/>
        <v>1568</v>
      </c>
      <c r="P99" s="69">
        <f t="shared" si="31"/>
        <v>2584</v>
      </c>
      <c r="Q99" s="69">
        <f t="shared" si="31"/>
        <v>1552</v>
      </c>
      <c r="R99" s="69">
        <f t="shared" si="31"/>
        <v>1736</v>
      </c>
      <c r="S99" s="69">
        <f t="shared" si="31"/>
        <v>2392</v>
      </c>
      <c r="T99" s="69">
        <f t="shared" si="31"/>
        <v>1316</v>
      </c>
      <c r="U99" s="69">
        <f t="shared" si="31"/>
        <v>1112</v>
      </c>
      <c r="V99" s="69">
        <f t="shared" si="31"/>
        <v>1348</v>
      </c>
      <c r="W99" s="6">
        <f>SUM(Table1[[#This Row],[7:00-8:00]:[22:00-23:00]])</f>
        <v>28492</v>
      </c>
    </row>
    <row r="100" spans="1:23" x14ac:dyDescent="0.25">
      <c r="A100" s="3"/>
      <c r="B100" s="105"/>
      <c r="C100" s="108"/>
      <c r="D100" s="8"/>
      <c r="E100" s="31"/>
      <c r="F100" s="52" t="s">
        <v>139</v>
      </c>
      <c r="G100" s="51">
        <f>G95+G97</f>
        <v>200</v>
      </c>
      <c r="H100" s="51">
        <f t="shared" ref="H100:V100" si="32">H95+H97</f>
        <v>400</v>
      </c>
      <c r="I100" s="51">
        <f t="shared" si="32"/>
        <v>568</v>
      </c>
      <c r="J100" s="51">
        <f t="shared" si="32"/>
        <v>784</v>
      </c>
      <c r="K100" s="51">
        <f t="shared" si="32"/>
        <v>1692</v>
      </c>
      <c r="L100" s="51">
        <f t="shared" si="32"/>
        <v>1608</v>
      </c>
      <c r="M100" s="51">
        <f t="shared" si="32"/>
        <v>2380</v>
      </c>
      <c r="N100" s="51">
        <f t="shared" si="32"/>
        <v>2172</v>
      </c>
      <c r="O100" s="51">
        <f t="shared" si="32"/>
        <v>2472</v>
      </c>
      <c r="P100" s="51">
        <f t="shared" si="32"/>
        <v>3244</v>
      </c>
      <c r="Q100" s="51">
        <f t="shared" si="32"/>
        <v>2456</v>
      </c>
      <c r="R100" s="51">
        <f t="shared" si="32"/>
        <v>2252</v>
      </c>
      <c r="S100" s="51">
        <f t="shared" si="32"/>
        <v>1752</v>
      </c>
      <c r="T100" s="51">
        <f t="shared" si="32"/>
        <v>1352</v>
      </c>
      <c r="U100" s="51">
        <f t="shared" si="32"/>
        <v>1488</v>
      </c>
      <c r="V100" s="51">
        <f t="shared" si="32"/>
        <v>1656</v>
      </c>
      <c r="W100" s="7">
        <f>SUM(Table1[[#This Row],[7:00-8:00]:[22:00-23:00]])</f>
        <v>26476</v>
      </c>
    </row>
    <row r="101" spans="1:23" x14ac:dyDescent="0.25">
      <c r="A101" s="2"/>
      <c r="B101" s="100">
        <v>12</v>
      </c>
      <c r="C101" s="106" t="s">
        <v>140</v>
      </c>
      <c r="D101" s="9" t="s">
        <v>24</v>
      </c>
      <c r="E101" s="29">
        <v>67</v>
      </c>
      <c r="F101" s="17" t="s">
        <v>141</v>
      </c>
      <c r="G101" s="10">
        <f>4*19</f>
        <v>76</v>
      </c>
      <c r="H101" s="18">
        <f>4*27</f>
        <v>108</v>
      </c>
      <c r="I101" s="18">
        <f>4*33</f>
        <v>132</v>
      </c>
      <c r="J101" s="10">
        <f>4*235</f>
        <v>940</v>
      </c>
      <c r="K101" s="10">
        <v>1512</v>
      </c>
      <c r="L101" s="18">
        <f>4*248</f>
        <v>992</v>
      </c>
      <c r="M101" s="18">
        <f>4*297</f>
        <v>1188</v>
      </c>
      <c r="N101" s="10">
        <f>4*592</f>
        <v>2368</v>
      </c>
      <c r="O101" s="10">
        <f>4*213</f>
        <v>852</v>
      </c>
      <c r="P101" s="18">
        <f>4*240</f>
        <v>960</v>
      </c>
      <c r="Q101" s="18">
        <f>4*238</f>
        <v>952</v>
      </c>
      <c r="R101" s="18">
        <f>4*447</f>
        <v>1788</v>
      </c>
      <c r="S101" s="18">
        <f>4*279</f>
        <v>1116</v>
      </c>
      <c r="T101" s="10">
        <f>4*169</f>
        <v>676</v>
      </c>
      <c r="U101" s="18">
        <f>4*165</f>
        <v>660</v>
      </c>
      <c r="V101" s="18">
        <f>4*139</f>
        <v>556</v>
      </c>
      <c r="W101" s="11">
        <f>SUM(Table1[[#This Row],[7:00-8:00]:[22:00-23:00]])</f>
        <v>14876</v>
      </c>
    </row>
    <row r="102" spans="1:23" x14ac:dyDescent="0.25">
      <c r="A102" s="2"/>
      <c r="B102" s="105"/>
      <c r="C102" s="108"/>
      <c r="D102" s="8" t="s">
        <v>26</v>
      </c>
      <c r="E102" s="30">
        <v>68</v>
      </c>
      <c r="F102" s="14" t="s">
        <v>142</v>
      </c>
      <c r="G102" s="1">
        <f>4*18</f>
        <v>72</v>
      </c>
      <c r="H102" s="16">
        <f>4*19</f>
        <v>76</v>
      </c>
      <c r="I102" s="16">
        <f>4*21</f>
        <v>84</v>
      </c>
      <c r="J102" s="1">
        <f>4*121</f>
        <v>484</v>
      </c>
      <c r="K102" s="1">
        <v>436</v>
      </c>
      <c r="L102" s="16">
        <f>4*125</f>
        <v>500</v>
      </c>
      <c r="M102" s="16">
        <f>4*139</f>
        <v>556</v>
      </c>
      <c r="N102" s="1">
        <f>4*183</f>
        <v>732</v>
      </c>
      <c r="O102" s="1">
        <f>4*273</f>
        <v>1092</v>
      </c>
      <c r="P102" s="16">
        <f>4*118</f>
        <v>472</v>
      </c>
      <c r="Q102" s="16">
        <f>4*102</f>
        <v>408</v>
      </c>
      <c r="R102" s="16">
        <f>4*133</f>
        <v>532</v>
      </c>
      <c r="S102" s="16">
        <f>4*118</f>
        <v>472</v>
      </c>
      <c r="T102" s="1">
        <f>4*87</f>
        <v>348</v>
      </c>
      <c r="U102" s="16">
        <f>4*91</f>
        <v>364</v>
      </c>
      <c r="V102" s="1">
        <f>4*43</f>
        <v>172</v>
      </c>
      <c r="W102" s="7">
        <f>SUM(Table1[[#This Row],[7:00-8:00]:[22:00-23:00]])</f>
        <v>6800</v>
      </c>
    </row>
    <row r="103" spans="1:23" x14ac:dyDescent="0.25">
      <c r="A103" s="34"/>
      <c r="B103" s="100">
        <v>13</v>
      </c>
      <c r="C103" s="106" t="s">
        <v>143</v>
      </c>
      <c r="D103" s="9" t="s">
        <v>24</v>
      </c>
      <c r="E103" s="28">
        <v>69</v>
      </c>
      <c r="F103" s="17" t="s">
        <v>144</v>
      </c>
      <c r="G103" s="10">
        <f>4*45</f>
        <v>180</v>
      </c>
      <c r="H103" s="18">
        <f>4*100</f>
        <v>400</v>
      </c>
      <c r="I103" s="18">
        <f>4*112</f>
        <v>448</v>
      </c>
      <c r="J103" s="10">
        <f>4*203</f>
        <v>812</v>
      </c>
      <c r="K103" s="10">
        <f>4*301</f>
        <v>1204</v>
      </c>
      <c r="L103" s="18">
        <f>4*294</f>
        <v>1176</v>
      </c>
      <c r="M103" s="18">
        <f>4*333</f>
        <v>1332</v>
      </c>
      <c r="N103" s="10">
        <f>4*361</f>
        <v>1444</v>
      </c>
      <c r="O103" s="10">
        <f>4*378</f>
        <v>1512</v>
      </c>
      <c r="P103" s="18">
        <f>4*265</f>
        <v>1060</v>
      </c>
      <c r="Q103" s="18">
        <f>4*322</f>
        <v>1288</v>
      </c>
      <c r="R103" s="18">
        <f>4*345</f>
        <v>1380</v>
      </c>
      <c r="S103" s="18">
        <f>4*364</f>
        <v>1456</v>
      </c>
      <c r="T103" s="10">
        <f>4*303</f>
        <v>1212</v>
      </c>
      <c r="U103" s="18">
        <f>4*321</f>
        <v>1284</v>
      </c>
      <c r="V103" s="10">
        <f>4*216</f>
        <v>864</v>
      </c>
      <c r="W103" s="11">
        <f>SUM(Table1[[#This Row],[7:00-8:00]:[22:00-23:00]])</f>
        <v>17052</v>
      </c>
    </row>
    <row r="104" spans="1:23" x14ac:dyDescent="0.25">
      <c r="A104" s="34"/>
      <c r="B104" s="101"/>
      <c r="C104" s="107"/>
      <c r="D104" s="5" t="s">
        <v>26</v>
      </c>
      <c r="E104" s="30">
        <v>70</v>
      </c>
      <c r="F104" s="13" t="s">
        <v>145</v>
      </c>
      <c r="G104" s="2">
        <f>4*16</f>
        <v>64</v>
      </c>
      <c r="H104" s="15">
        <f>4*45</f>
        <v>180</v>
      </c>
      <c r="I104" s="15">
        <f>4*61</f>
        <v>244</v>
      </c>
      <c r="J104" s="2">
        <f>4*148</f>
        <v>592</v>
      </c>
      <c r="K104" s="2">
        <f>4*228</f>
        <v>912</v>
      </c>
      <c r="L104" s="15">
        <f>4*119</f>
        <v>476</v>
      </c>
      <c r="M104" s="15">
        <f>4*262</f>
        <v>1048</v>
      </c>
      <c r="N104" s="2">
        <f>4*252</f>
        <v>1008</v>
      </c>
      <c r="O104" s="2">
        <f>4*294</f>
        <v>1176</v>
      </c>
      <c r="P104" s="15">
        <f>4*322</f>
        <v>1288</v>
      </c>
      <c r="Q104" s="15">
        <f>4*168</f>
        <v>672</v>
      </c>
      <c r="R104" s="15">
        <f>4*313</f>
        <v>1252</v>
      </c>
      <c r="S104" s="15">
        <f>328</f>
        <v>328</v>
      </c>
      <c r="T104" s="2">
        <f>4*249</f>
        <v>996</v>
      </c>
      <c r="U104" s="15">
        <f>4*226</f>
        <v>904</v>
      </c>
      <c r="V104" s="2">
        <f>4*390</f>
        <v>1560</v>
      </c>
      <c r="W104" s="6">
        <f>SUM(Table1[[#This Row],[7:00-8:00]:[22:00-23:00]])</f>
        <v>12700</v>
      </c>
    </row>
    <row r="105" spans="1:23" x14ac:dyDescent="0.25">
      <c r="A105" s="2"/>
      <c r="B105" s="100">
        <v>14</v>
      </c>
      <c r="C105" s="106" t="s">
        <v>146</v>
      </c>
      <c r="D105" s="9" t="s">
        <v>24</v>
      </c>
      <c r="E105" s="28">
        <v>71</v>
      </c>
      <c r="F105" s="17" t="s">
        <v>147</v>
      </c>
      <c r="G105" s="10">
        <f>4*32</f>
        <v>128</v>
      </c>
      <c r="H105" s="18">
        <f>4*62</f>
        <v>248</v>
      </c>
      <c r="I105" s="10">
        <f>4*32</f>
        <v>128</v>
      </c>
      <c r="J105" s="10">
        <f>4*109</f>
        <v>436</v>
      </c>
      <c r="K105" s="10">
        <f>4*122</f>
        <v>488</v>
      </c>
      <c r="L105" s="10">
        <f>4*112</f>
        <v>448</v>
      </c>
      <c r="M105" s="10">
        <f>4*183</f>
        <v>732</v>
      </c>
      <c r="N105" s="10">
        <f>4*192</f>
        <v>768</v>
      </c>
      <c r="O105" s="10">
        <f>4*218</f>
        <v>872</v>
      </c>
      <c r="P105" s="10">
        <f>4*178</f>
        <v>712</v>
      </c>
      <c r="Q105" s="10">
        <f>4*163</f>
        <v>652</v>
      </c>
      <c r="R105" s="10">
        <f>4*158</f>
        <v>632</v>
      </c>
      <c r="S105" s="10">
        <f>4*266</f>
        <v>1064</v>
      </c>
      <c r="T105" s="10">
        <f>4*198</f>
        <v>792</v>
      </c>
      <c r="U105" s="10">
        <f>4*162</f>
        <v>648</v>
      </c>
      <c r="V105" s="10">
        <f>4*181</f>
        <v>724</v>
      </c>
      <c r="W105" s="11">
        <f>SUM(Table1[[#This Row],[7:00-8:00]:[22:00-23:00]])</f>
        <v>9472</v>
      </c>
    </row>
    <row r="106" spans="1:23" x14ac:dyDescent="0.25">
      <c r="B106" s="101"/>
      <c r="C106" s="107"/>
      <c r="D106" s="5" t="s">
        <v>26</v>
      </c>
      <c r="E106" s="29">
        <v>72</v>
      </c>
      <c r="F106" s="13" t="s">
        <v>148</v>
      </c>
      <c r="G106" s="2">
        <f>4*13</f>
        <v>52</v>
      </c>
      <c r="H106" s="15">
        <f>4*52</f>
        <v>208</v>
      </c>
      <c r="I106" s="2">
        <f>4*63</f>
        <v>252</v>
      </c>
      <c r="J106" s="2">
        <f>4*91</f>
        <v>364</v>
      </c>
      <c r="K106" s="2">
        <f>4*160</f>
        <v>640</v>
      </c>
      <c r="L106" s="2">
        <f>4*158</f>
        <v>632</v>
      </c>
      <c r="M106" s="2">
        <f>4*196</f>
        <v>784</v>
      </c>
      <c r="N106" s="2">
        <f>4*212</f>
        <v>848</v>
      </c>
      <c r="O106" s="2">
        <f>4*183</f>
        <v>732</v>
      </c>
      <c r="P106" s="2">
        <f>4*201</f>
        <v>804</v>
      </c>
      <c r="Q106" s="2">
        <f>4*152</f>
        <v>608</v>
      </c>
      <c r="R106" s="2">
        <f>4*109</f>
        <v>436</v>
      </c>
      <c r="S106" s="2">
        <f>4*165</f>
        <v>660</v>
      </c>
      <c r="T106" s="2">
        <f>4*192</f>
        <v>768</v>
      </c>
      <c r="U106" s="2">
        <f>4*209</f>
        <v>836</v>
      </c>
      <c r="V106" s="2">
        <f>4*223</f>
        <v>892</v>
      </c>
      <c r="W106" s="6">
        <f>SUM(Table1[[#This Row],[7:00-8:00]:[22:00-23:00]])</f>
        <v>9516</v>
      </c>
    </row>
    <row r="107" spans="1:23" x14ac:dyDescent="0.25">
      <c r="B107" s="101"/>
      <c r="C107" s="107"/>
      <c r="D107" s="5" t="s">
        <v>54</v>
      </c>
      <c r="E107" s="28">
        <v>73</v>
      </c>
      <c r="F107" s="13" t="s">
        <v>149</v>
      </c>
      <c r="G107" s="2">
        <f>4*9</f>
        <v>36</v>
      </c>
      <c r="H107" s="15">
        <f>4*0</f>
        <v>0</v>
      </c>
      <c r="I107" s="2">
        <f>4*10</f>
        <v>40</v>
      </c>
      <c r="J107" s="2">
        <f>4*5</f>
        <v>20</v>
      </c>
      <c r="K107" s="2">
        <f>4*7</f>
        <v>28</v>
      </c>
      <c r="L107" s="2">
        <f>4*8</f>
        <v>32</v>
      </c>
      <c r="M107" s="2">
        <f>4*9</f>
        <v>36</v>
      </c>
      <c r="N107" s="2">
        <f>4*12</f>
        <v>48</v>
      </c>
      <c r="O107" s="2">
        <f>4*12</f>
        <v>48</v>
      </c>
      <c r="P107" s="2">
        <f>4*12</f>
        <v>48</v>
      </c>
      <c r="Q107" s="2">
        <f>4*13</f>
        <v>52</v>
      </c>
      <c r="R107" s="2">
        <f>4*18</f>
        <v>72</v>
      </c>
      <c r="S107" s="2">
        <f>4*20</f>
        <v>80</v>
      </c>
      <c r="T107" s="2">
        <f>4*17</f>
        <v>68</v>
      </c>
      <c r="U107" s="2">
        <f>4*16</f>
        <v>64</v>
      </c>
      <c r="V107" s="2">
        <f>4*16</f>
        <v>64</v>
      </c>
      <c r="W107" s="6">
        <f>SUM(Table1[[#This Row],[7:00-8:00]:[22:00-23:00]])</f>
        <v>736</v>
      </c>
    </row>
    <row r="108" spans="1:23" x14ac:dyDescent="0.25">
      <c r="B108" s="101"/>
      <c r="C108" s="107"/>
      <c r="D108" s="5" t="s">
        <v>56</v>
      </c>
      <c r="E108" s="29">
        <v>74</v>
      </c>
      <c r="F108" s="13" t="s">
        <v>150</v>
      </c>
      <c r="G108" s="2">
        <f>4*22</f>
        <v>88</v>
      </c>
      <c r="H108" s="15">
        <f>4*6</f>
        <v>24</v>
      </c>
      <c r="I108" s="2">
        <f>4*12</f>
        <v>48</v>
      </c>
      <c r="J108" s="2">
        <f>4*2</f>
        <v>8</v>
      </c>
      <c r="K108" s="2">
        <f>4*9</f>
        <v>36</v>
      </c>
      <c r="L108" s="2">
        <f>4*15</f>
        <v>60</v>
      </c>
      <c r="M108" s="2">
        <f>4*24</f>
        <v>96</v>
      </c>
      <c r="N108" s="2">
        <f>4*25</f>
        <v>100</v>
      </c>
      <c r="O108" s="2">
        <f>4*19</f>
        <v>76</v>
      </c>
      <c r="P108" s="2">
        <f>4*39</f>
        <v>156</v>
      </c>
      <c r="Q108" s="2">
        <f>4*18</f>
        <v>72</v>
      </c>
      <c r="R108" s="2">
        <f>4*42</f>
        <v>168</v>
      </c>
      <c r="S108" s="2">
        <f>4*31</f>
        <v>124</v>
      </c>
      <c r="T108" s="2">
        <f>4*24</f>
        <v>96</v>
      </c>
      <c r="U108" s="2">
        <f>4*19</f>
        <v>76</v>
      </c>
      <c r="V108" s="2">
        <f>4*18</f>
        <v>72</v>
      </c>
      <c r="W108" s="6">
        <f>SUM(Table1[[#This Row],[7:00-8:00]:[22:00-23:00]])</f>
        <v>1300</v>
      </c>
    </row>
    <row r="109" spans="1:23" x14ac:dyDescent="0.25">
      <c r="B109" s="101"/>
      <c r="C109" s="107"/>
      <c r="D109" s="5" t="s">
        <v>133</v>
      </c>
      <c r="E109" s="28">
        <v>75</v>
      </c>
      <c r="F109" s="13" t="s">
        <v>151</v>
      </c>
      <c r="G109" s="2">
        <f>4*3</f>
        <v>12</v>
      </c>
      <c r="H109" s="15">
        <f>4*33</f>
        <v>132</v>
      </c>
      <c r="I109" s="2">
        <f>4*25</f>
        <v>100</v>
      </c>
      <c r="J109" s="2">
        <f>4*49</f>
        <v>196</v>
      </c>
      <c r="K109" s="2">
        <f>4*63</f>
        <v>252</v>
      </c>
      <c r="L109" s="2">
        <f>4*38</f>
        <v>152</v>
      </c>
      <c r="M109" s="2">
        <f>4*42</f>
        <v>168</v>
      </c>
      <c r="N109" s="2">
        <f>4*49</f>
        <v>196</v>
      </c>
      <c r="O109" s="2">
        <f>4*66</f>
        <v>264</v>
      </c>
      <c r="P109" s="2">
        <f>4*45</f>
        <v>180</v>
      </c>
      <c r="Q109" s="2">
        <f>4*96</f>
        <v>384</v>
      </c>
      <c r="R109" s="2">
        <f>4*57</f>
        <v>228</v>
      </c>
      <c r="S109" s="2">
        <f>4*66</f>
        <v>264</v>
      </c>
      <c r="T109" s="2">
        <f>4*52</f>
        <v>208</v>
      </c>
      <c r="U109" s="2">
        <f>4*58</f>
        <v>232</v>
      </c>
      <c r="V109" s="2">
        <f>4*79</f>
        <v>316</v>
      </c>
      <c r="W109" s="6">
        <f>SUM(Table1[[#This Row],[7:00-8:00]:[22:00-23:00]])</f>
        <v>3284</v>
      </c>
    </row>
    <row r="110" spans="1:23" x14ac:dyDescent="0.25">
      <c r="B110" s="101"/>
      <c r="C110" s="107"/>
      <c r="D110" s="5" t="s">
        <v>135</v>
      </c>
      <c r="E110" s="29">
        <v>76</v>
      </c>
      <c r="F110" s="13" t="s">
        <v>152</v>
      </c>
      <c r="G110" s="2">
        <v>0</v>
      </c>
      <c r="H110" s="15">
        <f>4*7</f>
        <v>28</v>
      </c>
      <c r="I110" s="2">
        <f>4*18</f>
        <v>72</v>
      </c>
      <c r="J110" s="2">
        <f>4*35</f>
        <v>140</v>
      </c>
      <c r="K110" s="2">
        <f>4*52</f>
        <v>208</v>
      </c>
      <c r="L110" s="2">
        <f>4*66</f>
        <v>264</v>
      </c>
      <c r="M110" s="2">
        <f>4*109</f>
        <v>436</v>
      </c>
      <c r="N110" s="2">
        <f>4*42</f>
        <v>168</v>
      </c>
      <c r="O110" s="2">
        <f>4*106</f>
        <v>424</v>
      </c>
      <c r="P110" s="2">
        <f>4*54</f>
        <v>216</v>
      </c>
      <c r="Q110" s="2">
        <f>4*45</f>
        <v>180</v>
      </c>
      <c r="R110" s="2">
        <f>4*33</f>
        <v>132</v>
      </c>
      <c r="S110" s="2">
        <f>4*40</f>
        <v>160</v>
      </c>
      <c r="T110" s="2">
        <f>4*44</f>
        <v>176</v>
      </c>
      <c r="U110" s="2">
        <f>4*49</f>
        <v>196</v>
      </c>
      <c r="V110" s="2">
        <f>4*96</f>
        <v>384</v>
      </c>
      <c r="W110" s="6">
        <f>SUM(Table1[[#This Row],[7:00-8:00]:[22:00-23:00]])</f>
        <v>3184</v>
      </c>
    </row>
    <row r="111" spans="1:23" x14ac:dyDescent="0.25">
      <c r="B111" s="101"/>
      <c r="C111" s="107"/>
      <c r="D111" s="5"/>
      <c r="E111" s="29"/>
      <c r="F111" s="48" t="s">
        <v>153</v>
      </c>
      <c r="G111" s="69">
        <f>G105+G107+G109</f>
        <v>176</v>
      </c>
      <c r="H111" s="69">
        <f t="shared" ref="H111:V111" si="33">H105+H107+H109</f>
        <v>380</v>
      </c>
      <c r="I111" s="69">
        <f t="shared" si="33"/>
        <v>268</v>
      </c>
      <c r="J111" s="69">
        <f t="shared" si="33"/>
        <v>652</v>
      </c>
      <c r="K111" s="69">
        <f t="shared" si="33"/>
        <v>768</v>
      </c>
      <c r="L111" s="69">
        <f t="shared" si="33"/>
        <v>632</v>
      </c>
      <c r="M111" s="69">
        <f t="shared" si="33"/>
        <v>936</v>
      </c>
      <c r="N111" s="69">
        <f t="shared" si="33"/>
        <v>1012</v>
      </c>
      <c r="O111" s="69">
        <f t="shared" si="33"/>
        <v>1184</v>
      </c>
      <c r="P111" s="69">
        <f t="shared" si="33"/>
        <v>940</v>
      </c>
      <c r="Q111" s="69">
        <f t="shared" si="33"/>
        <v>1088</v>
      </c>
      <c r="R111" s="69">
        <f t="shared" si="33"/>
        <v>932</v>
      </c>
      <c r="S111" s="69">
        <f t="shared" si="33"/>
        <v>1408</v>
      </c>
      <c r="T111" s="69">
        <f t="shared" si="33"/>
        <v>1068</v>
      </c>
      <c r="U111" s="69">
        <f t="shared" si="33"/>
        <v>944</v>
      </c>
      <c r="V111" s="69">
        <f t="shared" si="33"/>
        <v>1104</v>
      </c>
      <c r="W111" s="6">
        <f>SUM(Table1[[#This Row],[7:00-8:00]:[22:00-23:00]])</f>
        <v>13492</v>
      </c>
    </row>
    <row r="112" spans="1:23" x14ac:dyDescent="0.25">
      <c r="B112" s="101"/>
      <c r="C112" s="107"/>
      <c r="D112" s="5"/>
      <c r="E112" s="31"/>
      <c r="F112" s="48" t="s">
        <v>154</v>
      </c>
      <c r="G112" s="69">
        <f>G106+G108+G110</f>
        <v>140</v>
      </c>
      <c r="H112" s="69">
        <f t="shared" ref="H112:V112" si="34">H106+H108+H110</f>
        <v>260</v>
      </c>
      <c r="I112" s="69">
        <f t="shared" si="34"/>
        <v>372</v>
      </c>
      <c r="J112" s="69">
        <f t="shared" si="34"/>
        <v>512</v>
      </c>
      <c r="K112" s="69">
        <f t="shared" si="34"/>
        <v>884</v>
      </c>
      <c r="L112" s="69">
        <f t="shared" si="34"/>
        <v>956</v>
      </c>
      <c r="M112" s="69">
        <f t="shared" si="34"/>
        <v>1316</v>
      </c>
      <c r="N112" s="69">
        <f t="shared" si="34"/>
        <v>1116</v>
      </c>
      <c r="O112" s="69">
        <f t="shared" si="34"/>
        <v>1232</v>
      </c>
      <c r="P112" s="69">
        <f t="shared" si="34"/>
        <v>1176</v>
      </c>
      <c r="Q112" s="69">
        <f t="shared" si="34"/>
        <v>860</v>
      </c>
      <c r="R112" s="69">
        <f t="shared" si="34"/>
        <v>736</v>
      </c>
      <c r="S112" s="69">
        <f t="shared" si="34"/>
        <v>944</v>
      </c>
      <c r="T112" s="69">
        <f t="shared" si="34"/>
        <v>1040</v>
      </c>
      <c r="U112" s="69">
        <f t="shared" si="34"/>
        <v>1108</v>
      </c>
      <c r="V112" s="69">
        <f t="shared" si="34"/>
        <v>1348</v>
      </c>
      <c r="W112" s="6">
        <f>SUM(Table1[[#This Row],[7:00-8:00]:[22:00-23:00]])</f>
        <v>14000</v>
      </c>
    </row>
    <row r="113" spans="2:23" x14ac:dyDescent="0.25">
      <c r="B113" s="100">
        <v>15</v>
      </c>
      <c r="C113" s="119" t="s">
        <v>155</v>
      </c>
      <c r="D113" s="9" t="s">
        <v>24</v>
      </c>
      <c r="E113" s="29">
        <v>77</v>
      </c>
      <c r="F113" s="9" t="s">
        <v>156</v>
      </c>
      <c r="G113" s="9">
        <f>4*64</f>
        <v>256</v>
      </c>
      <c r="H113" s="66">
        <f>4*78</f>
        <v>312</v>
      </c>
      <c r="I113" s="9">
        <f>4*123</f>
        <v>492</v>
      </c>
      <c r="J113" s="9">
        <f>4*339</f>
        <v>1356</v>
      </c>
      <c r="K113" s="9">
        <f>4*408</f>
        <v>1632</v>
      </c>
      <c r="L113" s="9">
        <f>4*268</f>
        <v>1072</v>
      </c>
      <c r="M113" s="9">
        <f>4*394</f>
        <v>1576</v>
      </c>
      <c r="N113" s="9">
        <f>4*376</f>
        <v>1504</v>
      </c>
      <c r="O113" s="9">
        <f>4*301</f>
        <v>1204</v>
      </c>
      <c r="P113" s="9">
        <f>4*425</f>
        <v>1700</v>
      </c>
      <c r="Q113" s="9">
        <f>4*462</f>
        <v>1848</v>
      </c>
      <c r="R113" s="9">
        <f>4*356</f>
        <v>1424</v>
      </c>
      <c r="S113" s="9">
        <f>4*325</f>
        <v>1300</v>
      </c>
      <c r="T113" s="9">
        <f>4*284</f>
        <v>1136</v>
      </c>
      <c r="U113" s="9">
        <f>4*268</f>
        <v>1072</v>
      </c>
      <c r="V113" s="9">
        <f>4*167</f>
        <v>668</v>
      </c>
      <c r="W113" s="67">
        <f>SUM(Table1[[#This Row],[7:00-8:00]:[22:00-23:00]])</f>
        <v>18552</v>
      </c>
    </row>
    <row r="114" spans="2:23" x14ac:dyDescent="0.25">
      <c r="B114" s="101"/>
      <c r="C114" s="120"/>
      <c r="D114" s="5" t="s">
        <v>26</v>
      </c>
      <c r="E114" s="29">
        <v>78</v>
      </c>
      <c r="F114" s="13" t="s">
        <v>157</v>
      </c>
      <c r="G114" s="5">
        <f>4*27</f>
        <v>108</v>
      </c>
      <c r="H114" s="33">
        <f>4*99</f>
        <v>396</v>
      </c>
      <c r="I114" s="8">
        <f>4*89</f>
        <v>356</v>
      </c>
      <c r="J114" s="5">
        <f>4*349</f>
        <v>1396</v>
      </c>
      <c r="K114" s="5">
        <f>4*504</f>
        <v>2016</v>
      </c>
      <c r="L114" s="5">
        <f>4*801</f>
        <v>3204</v>
      </c>
      <c r="M114" s="5">
        <f>4*589</f>
        <v>2356</v>
      </c>
      <c r="N114" s="5">
        <f>4*540</f>
        <v>2160</v>
      </c>
      <c r="O114" s="5">
        <f>4*491</f>
        <v>1964</v>
      </c>
      <c r="P114" s="5">
        <f>4*623</f>
        <v>2492</v>
      </c>
      <c r="Q114" s="5">
        <f>4*497</f>
        <v>1988</v>
      </c>
      <c r="R114" s="5">
        <f>4*403</f>
        <v>1612</v>
      </c>
      <c r="S114" s="5">
        <f>4*484</f>
        <v>1936</v>
      </c>
      <c r="T114" s="5">
        <f>4*497</f>
        <v>1988</v>
      </c>
      <c r="U114" s="5">
        <f>4*572</f>
        <v>2288</v>
      </c>
      <c r="V114" s="5">
        <f>4*121</f>
        <v>484</v>
      </c>
      <c r="W114" s="68">
        <f>SUM(Table1[[#This Row],[7:00-8:00]:[22:00-23:00]])</f>
        <v>26744</v>
      </c>
    </row>
    <row r="115" spans="2:23" x14ac:dyDescent="0.25">
      <c r="B115" s="100">
        <v>16</v>
      </c>
      <c r="C115" s="106" t="s">
        <v>158</v>
      </c>
      <c r="D115" s="9" t="s">
        <v>24</v>
      </c>
      <c r="E115" s="32">
        <v>79</v>
      </c>
      <c r="F115" s="10" t="s">
        <v>159</v>
      </c>
      <c r="G115" s="10">
        <f>4*9</f>
        <v>36</v>
      </c>
      <c r="H115" s="18">
        <f>4*24</f>
        <v>96</v>
      </c>
      <c r="I115">
        <f>4*15</f>
        <v>60</v>
      </c>
      <c r="J115" s="10">
        <f>4*10</f>
        <v>40</v>
      </c>
      <c r="K115" s="10">
        <f>4*57</f>
        <v>228</v>
      </c>
      <c r="L115" s="10">
        <f>4*35</f>
        <v>140</v>
      </c>
      <c r="M115" s="10">
        <f>4*25</f>
        <v>100</v>
      </c>
      <c r="N115" s="10">
        <f>4*34</f>
        <v>136</v>
      </c>
      <c r="O115" s="10">
        <f>4*15</f>
        <v>60</v>
      </c>
      <c r="P115" s="10">
        <f>4*33</f>
        <v>132</v>
      </c>
      <c r="Q115" s="9">
        <f>4*52</f>
        <v>208</v>
      </c>
      <c r="R115" s="9">
        <f>4*43</f>
        <v>172</v>
      </c>
      <c r="S115" s="9">
        <f>4*36</f>
        <v>144</v>
      </c>
      <c r="T115" s="10">
        <f>4*42</f>
        <v>168</v>
      </c>
      <c r="U115" s="10">
        <f>4*33</f>
        <v>132</v>
      </c>
      <c r="V115" s="10">
        <f>4*30</f>
        <v>120</v>
      </c>
      <c r="W115" s="11">
        <f>SUM(Table1[[#This Row],[7:00-8:00]:[22:00-23:00]])</f>
        <v>1972</v>
      </c>
    </row>
    <row r="116" spans="2:23" x14ac:dyDescent="0.25">
      <c r="B116" s="101"/>
      <c r="C116" s="107"/>
      <c r="D116" s="5" t="s">
        <v>26</v>
      </c>
      <c r="E116" s="29">
        <v>80</v>
      </c>
      <c r="F116" s="13" t="s">
        <v>160</v>
      </c>
      <c r="G116" s="2">
        <f>4*12</f>
        <v>48</v>
      </c>
      <c r="H116" s="15">
        <f>4*28</f>
        <v>112</v>
      </c>
      <c r="I116">
        <f>4*3</f>
        <v>12</v>
      </c>
      <c r="J116" s="2">
        <f>4*9</f>
        <v>36</v>
      </c>
      <c r="K116" s="2">
        <f>4*24</f>
        <v>96</v>
      </c>
      <c r="L116" s="2">
        <f>4*25</f>
        <v>100</v>
      </c>
      <c r="M116" s="2">
        <f>4*31</f>
        <v>124</v>
      </c>
      <c r="N116" s="2">
        <f>4*16</f>
        <v>64</v>
      </c>
      <c r="O116" s="2">
        <f>4*5</f>
        <v>20</v>
      </c>
      <c r="P116" s="2">
        <f>4*39</f>
        <v>156</v>
      </c>
      <c r="Q116" s="5">
        <f>4*33</f>
        <v>132</v>
      </c>
      <c r="R116" s="5">
        <f>4*28</f>
        <v>112</v>
      </c>
      <c r="S116" s="5">
        <f>4*29</f>
        <v>116</v>
      </c>
      <c r="T116" s="2">
        <f>46</f>
        <v>46</v>
      </c>
      <c r="U116" s="2">
        <f>4*45</f>
        <v>180</v>
      </c>
      <c r="V116" s="2">
        <f>4*15</f>
        <v>60</v>
      </c>
      <c r="W116" s="6">
        <f>SUM(Table1[[#This Row],[7:00-8:00]:[22:00-23:00]])</f>
        <v>1414</v>
      </c>
    </row>
    <row r="117" spans="2:23" x14ac:dyDescent="0.25">
      <c r="B117" s="101"/>
      <c r="C117" s="107"/>
      <c r="D117" s="5" t="s">
        <v>28</v>
      </c>
      <c r="E117" s="29">
        <v>81</v>
      </c>
      <c r="F117" s="5" t="s">
        <v>161</v>
      </c>
      <c r="G117" s="2">
        <f>4*5</f>
        <v>20</v>
      </c>
      <c r="H117" s="15">
        <f>4*18</f>
        <v>72</v>
      </c>
      <c r="I117">
        <f>4*13</f>
        <v>52</v>
      </c>
      <c r="J117" s="2">
        <f>4*24</f>
        <v>96</v>
      </c>
      <c r="K117" s="2">
        <f>4*55</f>
        <v>220</v>
      </c>
      <c r="L117" s="2">
        <f>4*28</f>
        <v>112</v>
      </c>
      <c r="M117" s="2">
        <f>4*18</f>
        <v>72</v>
      </c>
      <c r="N117" s="2">
        <f>4*19</f>
        <v>76</v>
      </c>
      <c r="O117" s="2">
        <f>4*28</f>
        <v>112</v>
      </c>
      <c r="P117" s="2">
        <f>4*21</f>
        <v>84</v>
      </c>
      <c r="Q117" s="5">
        <f>4*19</f>
        <v>76</v>
      </c>
      <c r="R117" s="5">
        <f>4*58</f>
        <v>232</v>
      </c>
      <c r="S117" s="5">
        <f>4*38</f>
        <v>152</v>
      </c>
      <c r="T117" s="2">
        <f>4*26</f>
        <v>104</v>
      </c>
      <c r="U117" s="2">
        <f>4*21</f>
        <v>84</v>
      </c>
      <c r="V117" s="2">
        <f>4*70</f>
        <v>280</v>
      </c>
      <c r="W117" s="6">
        <f>SUM(Table1[[#This Row],[7:00-8:00]:[22:00-23:00]])</f>
        <v>1844</v>
      </c>
    </row>
    <row r="118" spans="2:23" x14ac:dyDescent="0.25">
      <c r="B118" s="101"/>
      <c r="C118" s="107"/>
      <c r="D118" s="5" t="s">
        <v>30</v>
      </c>
      <c r="E118" s="29">
        <v>82</v>
      </c>
      <c r="F118" s="13" t="s">
        <v>162</v>
      </c>
      <c r="G118" s="2">
        <f>4*6</f>
        <v>24</v>
      </c>
      <c r="H118" s="15">
        <f>4*9</f>
        <v>36</v>
      </c>
      <c r="I118">
        <f>4*28</f>
        <v>112</v>
      </c>
      <c r="J118" s="2">
        <f>4*19</f>
        <v>76</v>
      </c>
      <c r="K118" s="2">
        <f>4*33</f>
        <v>132</v>
      </c>
      <c r="L118" s="2">
        <f>4*36</f>
        <v>144</v>
      </c>
      <c r="M118" s="2">
        <f>4*27</f>
        <v>108</v>
      </c>
      <c r="N118" s="2">
        <f>4*18</f>
        <v>72</v>
      </c>
      <c r="O118" s="2">
        <f>4*22</f>
        <v>88</v>
      </c>
      <c r="P118" s="2">
        <f>4*34</f>
        <v>136</v>
      </c>
      <c r="Q118" s="5">
        <f>4*30</f>
        <v>120</v>
      </c>
      <c r="R118" s="5">
        <f>4*34</f>
        <v>136</v>
      </c>
      <c r="S118" s="5">
        <f>4*36</f>
        <v>144</v>
      </c>
      <c r="T118" s="2">
        <f>4*31</f>
        <v>124</v>
      </c>
      <c r="U118" s="2">
        <f>4*19</f>
        <v>76</v>
      </c>
      <c r="V118" s="2">
        <f>4*42</f>
        <v>168</v>
      </c>
      <c r="W118" s="6">
        <f>SUM(Table1[[#This Row],[7:00-8:00]:[22:00-23:00]])</f>
        <v>1696</v>
      </c>
    </row>
    <row r="119" spans="2:23" x14ac:dyDescent="0.25">
      <c r="B119" s="101"/>
      <c r="C119" s="107"/>
      <c r="D119" s="5" t="s">
        <v>32</v>
      </c>
      <c r="E119" s="29">
        <v>83</v>
      </c>
      <c r="F119" s="13" t="s">
        <v>163</v>
      </c>
      <c r="G119" s="2">
        <f>4*25</f>
        <v>100</v>
      </c>
      <c r="H119" s="15">
        <f>4*112</f>
        <v>448</v>
      </c>
      <c r="I119">
        <f>4*84</f>
        <v>336</v>
      </c>
      <c r="J119" s="2">
        <f>4*232</f>
        <v>928</v>
      </c>
      <c r="K119" s="2">
        <f>4*474</f>
        <v>1896</v>
      </c>
      <c r="L119" s="2">
        <f>4*520</f>
        <v>2080</v>
      </c>
      <c r="M119" s="2">
        <f>4*550</f>
        <v>2200</v>
      </c>
      <c r="N119" s="2">
        <f>4*591</f>
        <v>2364</v>
      </c>
      <c r="O119" s="2">
        <f>4*477</f>
        <v>1908</v>
      </c>
      <c r="P119" s="2">
        <f>4*579</f>
        <v>2316</v>
      </c>
      <c r="Q119" s="5">
        <f>4*526</f>
        <v>2104</v>
      </c>
      <c r="R119" s="5">
        <f>4*483</f>
        <v>1932</v>
      </c>
      <c r="S119" s="5">
        <f>4*534</f>
        <v>2136</v>
      </c>
      <c r="T119" s="2">
        <f>4*698</f>
        <v>2792</v>
      </c>
      <c r="U119" s="2">
        <f>4*768</f>
        <v>3072</v>
      </c>
      <c r="V119" s="2">
        <f>4*517</f>
        <v>2068</v>
      </c>
      <c r="W119" s="6">
        <f>SUM(Table1[[#This Row],[7:00-8:00]:[22:00-23:00]])</f>
        <v>28680</v>
      </c>
    </row>
    <row r="120" spans="2:23" x14ac:dyDescent="0.25">
      <c r="B120" s="101"/>
      <c r="C120" s="107"/>
      <c r="D120" s="5" t="s">
        <v>34</v>
      </c>
      <c r="E120" s="29">
        <v>84</v>
      </c>
      <c r="F120" s="13" t="s">
        <v>164</v>
      </c>
      <c r="G120" s="2">
        <f>4*72</f>
        <v>288</v>
      </c>
      <c r="H120" s="15">
        <f>4*94</f>
        <v>376</v>
      </c>
      <c r="I120">
        <f>4*147</f>
        <v>588</v>
      </c>
      <c r="J120" s="2">
        <f>4*295</f>
        <v>1180</v>
      </c>
      <c r="K120" s="2">
        <f>4*442</f>
        <v>1768</v>
      </c>
      <c r="L120" s="2">
        <f>4*378</f>
        <v>1512</v>
      </c>
      <c r="M120" s="2">
        <f>4*241</f>
        <v>964</v>
      </c>
      <c r="N120" s="2">
        <f>4*355</f>
        <v>1420</v>
      </c>
      <c r="O120" s="2">
        <f>4*274</f>
        <v>1096</v>
      </c>
      <c r="P120" s="2">
        <f>4*330</f>
        <v>1320</v>
      </c>
      <c r="Q120" s="5">
        <f>4*388</f>
        <v>1552</v>
      </c>
      <c r="R120" s="5">
        <f>4*456</f>
        <v>1824</v>
      </c>
      <c r="S120" s="5">
        <f>4*472</f>
        <v>1888</v>
      </c>
      <c r="T120" s="2">
        <f>4*561</f>
        <v>2244</v>
      </c>
      <c r="U120" s="2">
        <f>4*576</f>
        <v>2304</v>
      </c>
      <c r="V120" s="2">
        <f>4*618</f>
        <v>2472</v>
      </c>
      <c r="W120" s="6">
        <f>SUM(Table1[[#This Row],[7:00-8:00]:[22:00-23:00]])</f>
        <v>22796</v>
      </c>
    </row>
    <row r="121" spans="2:23" x14ac:dyDescent="0.25">
      <c r="B121" s="101"/>
      <c r="C121" s="107"/>
      <c r="D121" s="5"/>
      <c r="E121" s="29"/>
      <c r="F121" s="48" t="s">
        <v>165</v>
      </c>
      <c r="G121" s="69">
        <f>G116+G118</f>
        <v>72</v>
      </c>
      <c r="H121" s="69">
        <f t="shared" ref="H121:V121" si="35">H116+H118</f>
        <v>148</v>
      </c>
      <c r="I121" s="69">
        <f t="shared" si="35"/>
        <v>124</v>
      </c>
      <c r="J121" s="69">
        <f t="shared" si="35"/>
        <v>112</v>
      </c>
      <c r="K121" s="69">
        <f t="shared" si="35"/>
        <v>228</v>
      </c>
      <c r="L121" s="69">
        <f t="shared" si="35"/>
        <v>244</v>
      </c>
      <c r="M121" s="69">
        <f t="shared" si="35"/>
        <v>232</v>
      </c>
      <c r="N121" s="69">
        <f t="shared" si="35"/>
        <v>136</v>
      </c>
      <c r="O121" s="69">
        <f t="shared" si="35"/>
        <v>108</v>
      </c>
      <c r="P121" s="69">
        <f t="shared" si="35"/>
        <v>292</v>
      </c>
      <c r="Q121" s="69">
        <f t="shared" si="35"/>
        <v>252</v>
      </c>
      <c r="R121" s="69">
        <f t="shared" si="35"/>
        <v>248</v>
      </c>
      <c r="S121" s="69">
        <f t="shared" si="35"/>
        <v>260</v>
      </c>
      <c r="T121" s="69">
        <f t="shared" si="35"/>
        <v>170</v>
      </c>
      <c r="U121" s="69">
        <f t="shared" si="35"/>
        <v>256</v>
      </c>
      <c r="V121" s="69">
        <f t="shared" si="35"/>
        <v>228</v>
      </c>
      <c r="W121" s="6">
        <f>SUM(Table1[[#This Row],[7:00-8:00]:[22:00-23:00]])</f>
        <v>3110</v>
      </c>
    </row>
    <row r="122" spans="2:23" x14ac:dyDescent="0.25">
      <c r="B122" s="105"/>
      <c r="C122" s="108"/>
      <c r="D122" s="8"/>
      <c r="E122" s="31"/>
      <c r="F122" s="51" t="s">
        <v>166</v>
      </c>
      <c r="G122" s="51">
        <f>G117+G119</f>
        <v>120</v>
      </c>
      <c r="H122" s="51">
        <f t="shared" ref="H122:V122" si="36">H117+H119</f>
        <v>520</v>
      </c>
      <c r="I122" s="51">
        <f t="shared" si="36"/>
        <v>388</v>
      </c>
      <c r="J122" s="51">
        <f t="shared" si="36"/>
        <v>1024</v>
      </c>
      <c r="K122" s="51">
        <f t="shared" si="36"/>
        <v>2116</v>
      </c>
      <c r="L122" s="51">
        <f t="shared" si="36"/>
        <v>2192</v>
      </c>
      <c r="M122" s="51">
        <f t="shared" si="36"/>
        <v>2272</v>
      </c>
      <c r="N122" s="51">
        <f t="shared" si="36"/>
        <v>2440</v>
      </c>
      <c r="O122" s="51">
        <f t="shared" si="36"/>
        <v>2020</v>
      </c>
      <c r="P122" s="51">
        <f t="shared" si="36"/>
        <v>2400</v>
      </c>
      <c r="Q122" s="51">
        <f t="shared" si="36"/>
        <v>2180</v>
      </c>
      <c r="R122" s="51">
        <f t="shared" si="36"/>
        <v>2164</v>
      </c>
      <c r="S122" s="51">
        <f t="shared" si="36"/>
        <v>2288</v>
      </c>
      <c r="T122" s="51">
        <f t="shared" si="36"/>
        <v>2896</v>
      </c>
      <c r="U122" s="51">
        <f t="shared" si="36"/>
        <v>3156</v>
      </c>
      <c r="V122" s="51">
        <f t="shared" si="36"/>
        <v>2348</v>
      </c>
      <c r="W122" s="7">
        <f>SUM(Table1[[#This Row],[7:00-8:00]:[22:00-23:00]])</f>
        <v>30524</v>
      </c>
    </row>
    <row r="123" spans="2:23" x14ac:dyDescent="0.25">
      <c r="B123" s="100">
        <v>17</v>
      </c>
      <c r="C123" s="106" t="s">
        <v>167</v>
      </c>
      <c r="D123" s="9" t="s">
        <v>24</v>
      </c>
      <c r="E123" s="32">
        <v>84</v>
      </c>
      <c r="F123" s="9" t="s">
        <v>168</v>
      </c>
      <c r="G123" s="10">
        <v>0</v>
      </c>
      <c r="H123" s="18">
        <v>0</v>
      </c>
      <c r="I123" s="10">
        <f>4*15</f>
        <v>60</v>
      </c>
      <c r="J123" s="10">
        <f>4*16</f>
        <v>64</v>
      </c>
      <c r="K123" s="10">
        <f>4*7</f>
        <v>28</v>
      </c>
      <c r="L123" s="10">
        <f>4*6</f>
        <v>24</v>
      </c>
      <c r="M123" s="10">
        <f>4*7</f>
        <v>28</v>
      </c>
      <c r="N123" s="10">
        <f>4*6</f>
        <v>24</v>
      </c>
      <c r="O123" s="10">
        <f>4*8</f>
        <v>32</v>
      </c>
      <c r="P123" s="10">
        <f>4*16</f>
        <v>64</v>
      </c>
      <c r="Q123" s="9">
        <f>4*9</f>
        <v>36</v>
      </c>
      <c r="R123" s="9">
        <f>4*23</f>
        <v>92</v>
      </c>
      <c r="S123" s="9">
        <f>4*27</f>
        <v>108</v>
      </c>
      <c r="T123" s="10">
        <f>4*28</f>
        <v>112</v>
      </c>
      <c r="U123" s="10">
        <f>4*35</f>
        <v>140</v>
      </c>
      <c r="V123" s="10">
        <f>4*20</f>
        <v>80</v>
      </c>
      <c r="W123" s="11">
        <f>SUM(Table1[[#This Row],[7:00-8:00]:[22:00-23:00]])</f>
        <v>892</v>
      </c>
    </row>
    <row r="124" spans="2:23" x14ac:dyDescent="0.25">
      <c r="B124" s="101"/>
      <c r="C124" s="107"/>
      <c r="D124" s="5" t="s">
        <v>26</v>
      </c>
      <c r="E124" s="29">
        <v>85</v>
      </c>
      <c r="F124" s="5" t="s">
        <v>169</v>
      </c>
      <c r="G124" s="2">
        <v>0</v>
      </c>
      <c r="H124" s="15">
        <v>0</v>
      </c>
      <c r="I124" s="2">
        <f>4*0</f>
        <v>0</v>
      </c>
      <c r="J124" s="2">
        <f>4*3</f>
        <v>12</v>
      </c>
      <c r="K124" s="2">
        <f>4*5</f>
        <v>20</v>
      </c>
      <c r="L124" s="2">
        <f>4*16</f>
        <v>64</v>
      </c>
      <c r="M124" s="2">
        <f>4*12</f>
        <v>48</v>
      </c>
      <c r="N124" s="2">
        <f>4*4</f>
        <v>16</v>
      </c>
      <c r="O124" s="2">
        <f>4*12</f>
        <v>48</v>
      </c>
      <c r="P124" s="2">
        <f>4*7</f>
        <v>28</v>
      </c>
      <c r="Q124" s="5">
        <f>4*6</f>
        <v>24</v>
      </c>
      <c r="R124" s="5">
        <f>4*21</f>
        <v>84</v>
      </c>
      <c r="S124" s="5">
        <f>4*25</f>
        <v>100</v>
      </c>
      <c r="T124" s="2">
        <f>4*9</f>
        <v>36</v>
      </c>
      <c r="U124" s="2">
        <f>4*15</f>
        <v>60</v>
      </c>
      <c r="V124" s="2">
        <f>4*10</f>
        <v>40</v>
      </c>
      <c r="W124" s="6">
        <f>SUM(Table1[[#This Row],[7:00-8:00]:[22:00-23:00]])</f>
        <v>580</v>
      </c>
    </row>
    <row r="125" spans="2:23" x14ac:dyDescent="0.25">
      <c r="B125" s="101"/>
      <c r="C125" s="107"/>
      <c r="D125" s="5" t="s">
        <v>28</v>
      </c>
      <c r="E125" s="29">
        <v>86</v>
      </c>
      <c r="F125" s="5" t="s">
        <v>170</v>
      </c>
      <c r="G125" s="2">
        <f>4*27</f>
        <v>108</v>
      </c>
      <c r="H125" s="15">
        <f>4*27</f>
        <v>108</v>
      </c>
      <c r="I125" s="2">
        <f>4*19</f>
        <v>76</v>
      </c>
      <c r="J125" s="2">
        <f>4*10</f>
        <v>40</v>
      </c>
      <c r="K125" s="2">
        <f>4*27</f>
        <v>108</v>
      </c>
      <c r="L125" s="2">
        <f>4*64</f>
        <v>256</v>
      </c>
      <c r="M125" s="2">
        <f>4*79</f>
        <v>316</v>
      </c>
      <c r="N125" s="2">
        <f>4*46</f>
        <v>184</v>
      </c>
      <c r="O125" s="2">
        <f>4*52</f>
        <v>208</v>
      </c>
      <c r="P125" s="2">
        <f>4*58</f>
        <v>232</v>
      </c>
      <c r="Q125" s="5">
        <f>4*36</f>
        <v>144</v>
      </c>
      <c r="R125" s="5">
        <f>4*45</f>
        <v>180</v>
      </c>
      <c r="S125" s="5">
        <f>4*52</f>
        <v>208</v>
      </c>
      <c r="T125" s="2">
        <f>4*129</f>
        <v>516</v>
      </c>
      <c r="U125" s="2">
        <f>4*136</f>
        <v>544</v>
      </c>
      <c r="V125" s="2">
        <f>4*92</f>
        <v>368</v>
      </c>
      <c r="W125" s="6">
        <f>SUM(Table1[[#This Row],[7:00-8:00]:[22:00-23:00]])</f>
        <v>3596</v>
      </c>
    </row>
    <row r="126" spans="2:23" x14ac:dyDescent="0.25">
      <c r="B126" s="101"/>
      <c r="C126" s="107"/>
      <c r="D126" s="5" t="s">
        <v>30</v>
      </c>
      <c r="E126" s="29">
        <v>87</v>
      </c>
      <c r="F126" s="5" t="s">
        <v>171</v>
      </c>
      <c r="G126" s="2">
        <f>4*11</f>
        <v>44</v>
      </c>
      <c r="H126" s="15">
        <f>4*11</f>
        <v>44</v>
      </c>
      <c r="I126" s="2">
        <f>4*30</f>
        <v>120</v>
      </c>
      <c r="J126" s="2">
        <f>4*35</f>
        <v>140</v>
      </c>
      <c r="K126" s="2">
        <f>4*52</f>
        <v>208</v>
      </c>
      <c r="L126" s="2">
        <f>4*147</f>
        <v>588</v>
      </c>
      <c r="M126" s="2">
        <f>4*196</f>
        <v>784</v>
      </c>
      <c r="N126" s="2">
        <f>4*142</f>
        <v>568</v>
      </c>
      <c r="O126" s="2">
        <f>4*162</f>
        <v>648</v>
      </c>
      <c r="P126" s="2">
        <f>4*91</f>
        <v>364</v>
      </c>
      <c r="Q126" s="5">
        <f>4*123</f>
        <v>492</v>
      </c>
      <c r="R126" s="5">
        <f>4*142</f>
        <v>568</v>
      </c>
      <c r="S126" s="5">
        <f>4*148</f>
        <v>592</v>
      </c>
      <c r="T126" s="2">
        <f>4*108</f>
        <v>432</v>
      </c>
      <c r="U126" s="2">
        <f>4*122</f>
        <v>488</v>
      </c>
      <c r="V126" s="2">
        <f>4*89</f>
        <v>356</v>
      </c>
      <c r="W126" s="6">
        <f>SUM(Table1[[#This Row],[7:00-8:00]:[22:00-23:00]])</f>
        <v>6436</v>
      </c>
    </row>
    <row r="127" spans="2:23" x14ac:dyDescent="0.25">
      <c r="B127" s="101"/>
      <c r="C127" s="107"/>
      <c r="D127" s="5" t="s">
        <v>32</v>
      </c>
      <c r="E127" s="29">
        <v>88</v>
      </c>
      <c r="F127" s="5" t="s">
        <v>172</v>
      </c>
      <c r="G127" s="2">
        <f>4*49</f>
        <v>196</v>
      </c>
      <c r="H127" s="15">
        <f>4*49</f>
        <v>196</v>
      </c>
      <c r="I127" s="2">
        <f>4*76</f>
        <v>304</v>
      </c>
      <c r="J127" s="2">
        <f>4*106</f>
        <v>424</v>
      </c>
      <c r="K127" s="2">
        <f>4*214</f>
        <v>856</v>
      </c>
      <c r="L127" s="2">
        <f>4*360</f>
        <v>1440</v>
      </c>
      <c r="M127" s="2">
        <f>4*379</f>
        <v>1516</v>
      </c>
      <c r="N127" s="2">
        <f>4*229</f>
        <v>916</v>
      </c>
      <c r="O127" s="2">
        <f>4*258</f>
        <v>1032</v>
      </c>
      <c r="P127" s="2">
        <f>4*273</f>
        <v>1092</v>
      </c>
      <c r="Q127" s="5">
        <f>4*271</f>
        <v>1084</v>
      </c>
      <c r="R127" s="5">
        <f>4*352</f>
        <v>1408</v>
      </c>
      <c r="S127" s="5">
        <f>4*367</f>
        <v>1468</v>
      </c>
      <c r="T127" s="2">
        <f>4*345</f>
        <v>1380</v>
      </c>
      <c r="U127" s="2">
        <f>4*361</f>
        <v>1444</v>
      </c>
      <c r="V127" s="2">
        <f>4*328</f>
        <v>1312</v>
      </c>
      <c r="W127" s="6">
        <f>SUM(Table1[[#This Row],[7:00-8:00]:[22:00-23:00]])</f>
        <v>16068</v>
      </c>
    </row>
    <row r="128" spans="2:23" x14ac:dyDescent="0.25">
      <c r="B128" s="101"/>
      <c r="C128" s="107"/>
      <c r="D128" s="5" t="s">
        <v>34</v>
      </c>
      <c r="E128" s="29">
        <v>89</v>
      </c>
      <c r="F128" s="5" t="s">
        <v>173</v>
      </c>
      <c r="G128" s="2">
        <f>4*52</f>
        <v>208</v>
      </c>
      <c r="H128" s="15">
        <f>4*52</f>
        <v>208</v>
      </c>
      <c r="I128" s="2">
        <f>4*66</f>
        <v>264</v>
      </c>
      <c r="J128" s="2">
        <f>4*115</f>
        <v>460</v>
      </c>
      <c r="K128" s="2">
        <f>4*225</f>
        <v>900</v>
      </c>
      <c r="L128" s="2">
        <f>4*307</f>
        <v>1228</v>
      </c>
      <c r="M128" s="2">
        <f>4*348</f>
        <v>1392</v>
      </c>
      <c r="N128" s="2">
        <f>4*378</f>
        <v>1512</v>
      </c>
      <c r="O128" s="2">
        <f>4*307</f>
        <v>1228</v>
      </c>
      <c r="P128" s="2">
        <f>4*381</f>
        <v>1524</v>
      </c>
      <c r="Q128" s="5">
        <f>4*378</f>
        <v>1512</v>
      </c>
      <c r="R128" s="5">
        <f>4*402</f>
        <v>1608</v>
      </c>
      <c r="S128" s="5">
        <f>4*327</f>
        <v>1308</v>
      </c>
      <c r="T128" s="2">
        <f>4*445</f>
        <v>1780</v>
      </c>
      <c r="U128" s="2">
        <f>4*408</f>
        <v>1632</v>
      </c>
      <c r="V128" s="2">
        <f>4*348</f>
        <v>1392</v>
      </c>
      <c r="W128" s="6">
        <f>SUM(Table1[[#This Row],[7:00-8:00]:[22:00-23:00]])</f>
        <v>18156</v>
      </c>
    </row>
    <row r="129" spans="2:23" x14ac:dyDescent="0.25">
      <c r="B129" s="101"/>
      <c r="C129" s="107"/>
      <c r="D129" s="5"/>
      <c r="E129" s="29"/>
      <c r="F129" s="49" t="s">
        <v>174</v>
      </c>
      <c r="G129" s="69">
        <f>G125+G127</f>
        <v>304</v>
      </c>
      <c r="H129" s="69">
        <f>H125+H127</f>
        <v>304</v>
      </c>
      <c r="I129" s="69">
        <f t="shared" ref="I129:V129" si="37">I125+I127</f>
        <v>380</v>
      </c>
      <c r="J129" s="69">
        <f t="shared" si="37"/>
        <v>464</v>
      </c>
      <c r="K129" s="69">
        <f t="shared" si="37"/>
        <v>964</v>
      </c>
      <c r="L129" s="69">
        <f t="shared" si="37"/>
        <v>1696</v>
      </c>
      <c r="M129" s="69">
        <f>M125+M127</f>
        <v>1832</v>
      </c>
      <c r="N129" s="69">
        <f>N125+N127</f>
        <v>1100</v>
      </c>
      <c r="O129" s="69">
        <f t="shared" si="37"/>
        <v>1240</v>
      </c>
      <c r="P129" s="69">
        <f t="shared" si="37"/>
        <v>1324</v>
      </c>
      <c r="Q129" s="69">
        <f t="shared" si="37"/>
        <v>1228</v>
      </c>
      <c r="R129" s="69">
        <f t="shared" si="37"/>
        <v>1588</v>
      </c>
      <c r="S129" s="69">
        <f t="shared" si="37"/>
        <v>1676</v>
      </c>
      <c r="T129" s="69">
        <f t="shared" si="37"/>
        <v>1896</v>
      </c>
      <c r="U129" s="69">
        <f t="shared" si="37"/>
        <v>1988</v>
      </c>
      <c r="V129" s="69">
        <f t="shared" si="37"/>
        <v>1680</v>
      </c>
      <c r="W129" s="6">
        <f>SUM(Table1[[#This Row],[7:00-8:00]:[22:00-23:00]])</f>
        <v>19664</v>
      </c>
    </row>
    <row r="130" spans="2:23" x14ac:dyDescent="0.25">
      <c r="B130" s="101"/>
      <c r="C130" s="107"/>
      <c r="D130" s="5"/>
      <c r="E130" s="29"/>
      <c r="F130" s="49" t="s">
        <v>175</v>
      </c>
      <c r="G130" s="69">
        <f>G123+G128</f>
        <v>208</v>
      </c>
      <c r="H130" s="69">
        <f>H123+H128</f>
        <v>208</v>
      </c>
      <c r="I130" s="69">
        <f t="shared" ref="I130:V130" si="38">I123+I128</f>
        <v>324</v>
      </c>
      <c r="J130" s="69">
        <f t="shared" si="38"/>
        <v>524</v>
      </c>
      <c r="K130" s="69">
        <f t="shared" si="38"/>
        <v>928</v>
      </c>
      <c r="L130" s="69">
        <f t="shared" si="38"/>
        <v>1252</v>
      </c>
      <c r="M130" s="69">
        <f>M123+M128</f>
        <v>1420</v>
      </c>
      <c r="N130" s="69">
        <f>N123+N128</f>
        <v>1536</v>
      </c>
      <c r="O130" s="69">
        <f t="shared" si="38"/>
        <v>1260</v>
      </c>
      <c r="P130" s="69">
        <f t="shared" si="38"/>
        <v>1588</v>
      </c>
      <c r="Q130" s="69">
        <f t="shared" si="38"/>
        <v>1548</v>
      </c>
      <c r="R130" s="69">
        <f t="shared" si="38"/>
        <v>1700</v>
      </c>
      <c r="S130" s="69">
        <f t="shared" si="38"/>
        <v>1416</v>
      </c>
      <c r="T130" s="69">
        <f t="shared" si="38"/>
        <v>1892</v>
      </c>
      <c r="U130" s="69">
        <f t="shared" si="38"/>
        <v>1772</v>
      </c>
      <c r="V130" s="69">
        <f t="shared" si="38"/>
        <v>1472</v>
      </c>
      <c r="W130" s="6">
        <f>SUM(Table1[[#This Row],[7:00-8:00]:[22:00-23:00]])</f>
        <v>19048</v>
      </c>
    </row>
    <row r="131" spans="2:23" x14ac:dyDescent="0.25">
      <c r="B131" s="105"/>
      <c r="C131" s="108"/>
      <c r="D131" s="8"/>
      <c r="E131" s="31"/>
      <c r="F131" s="50" t="s">
        <v>176</v>
      </c>
      <c r="G131" s="51">
        <f>G124+G126</f>
        <v>44</v>
      </c>
      <c r="H131" s="51">
        <f>H124+H126</f>
        <v>44</v>
      </c>
      <c r="I131" s="51">
        <f t="shared" ref="I131:V131" si="39">I124+I126</f>
        <v>120</v>
      </c>
      <c r="J131" s="51">
        <f t="shared" si="39"/>
        <v>152</v>
      </c>
      <c r="K131" s="51">
        <f t="shared" si="39"/>
        <v>228</v>
      </c>
      <c r="L131" s="51">
        <f t="shared" si="39"/>
        <v>652</v>
      </c>
      <c r="M131" s="51">
        <f>M124+M126</f>
        <v>832</v>
      </c>
      <c r="N131" s="51">
        <f>N124+N126</f>
        <v>584</v>
      </c>
      <c r="O131" s="51">
        <f t="shared" si="39"/>
        <v>696</v>
      </c>
      <c r="P131" s="51">
        <f t="shared" si="39"/>
        <v>392</v>
      </c>
      <c r="Q131" s="51">
        <f t="shared" si="39"/>
        <v>516</v>
      </c>
      <c r="R131" s="51">
        <f t="shared" si="39"/>
        <v>652</v>
      </c>
      <c r="S131" s="51">
        <f t="shared" si="39"/>
        <v>692</v>
      </c>
      <c r="T131" s="51">
        <f t="shared" si="39"/>
        <v>468</v>
      </c>
      <c r="U131" s="51">
        <f t="shared" si="39"/>
        <v>548</v>
      </c>
      <c r="V131" s="51">
        <f t="shared" si="39"/>
        <v>396</v>
      </c>
      <c r="W131" s="7">
        <f>SUM(Table1[[#This Row],[7:00-8:00]:[22:00-23:00]])</f>
        <v>7016</v>
      </c>
    </row>
    <row r="132" spans="2:23" x14ac:dyDescent="0.25">
      <c r="B132" s="100">
        <v>18</v>
      </c>
      <c r="C132" s="106" t="s">
        <v>177</v>
      </c>
      <c r="D132" s="20" t="s">
        <v>24</v>
      </c>
      <c r="E132" s="32">
        <v>90</v>
      </c>
      <c r="F132" s="5" t="s">
        <v>178</v>
      </c>
      <c r="G132" s="10">
        <f>4*31</f>
        <v>124</v>
      </c>
      <c r="H132" s="18">
        <f>4*25</f>
        <v>100</v>
      </c>
      <c r="I132" s="10">
        <f>4*124</f>
        <v>496</v>
      </c>
      <c r="J132" s="10">
        <f>4*178</f>
        <v>712</v>
      </c>
      <c r="K132" s="10">
        <f>4*352</f>
        <v>1408</v>
      </c>
      <c r="L132" s="10">
        <f>4*305</f>
        <v>1220</v>
      </c>
      <c r="M132" s="10">
        <f>4*368</f>
        <v>1472</v>
      </c>
      <c r="N132" s="10">
        <f>4*401</f>
        <v>1604</v>
      </c>
      <c r="O132" s="10">
        <f>4*361</f>
        <v>1444</v>
      </c>
      <c r="P132" s="10">
        <f>4*256</f>
        <v>1024</v>
      </c>
      <c r="Q132" s="9">
        <f>4*324</f>
        <v>1296</v>
      </c>
      <c r="R132" s="9">
        <f>4*328</f>
        <v>1312</v>
      </c>
      <c r="S132" s="9">
        <f>4*412</f>
        <v>1648</v>
      </c>
      <c r="T132" s="10">
        <f>4*383</f>
        <v>1532</v>
      </c>
      <c r="U132" s="10">
        <f>4*460</f>
        <v>1840</v>
      </c>
      <c r="V132" s="10">
        <f>4*238</f>
        <v>952</v>
      </c>
      <c r="W132" s="11">
        <f>SUM(Table1[[#This Row],[7:00-8:00]:[22:00-23:00]])</f>
        <v>18184</v>
      </c>
    </row>
    <row r="133" spans="2:23" x14ac:dyDescent="0.25">
      <c r="B133" s="101"/>
      <c r="C133" s="107"/>
      <c r="D133" s="21" t="s">
        <v>26</v>
      </c>
      <c r="E133" s="29">
        <v>91</v>
      </c>
      <c r="F133" s="5" t="s">
        <v>179</v>
      </c>
      <c r="G133" s="2">
        <f>4*15</f>
        <v>60</v>
      </c>
      <c r="H133" s="15">
        <f>4*53</f>
        <v>212</v>
      </c>
      <c r="I133" s="2">
        <f>4*97</f>
        <v>388</v>
      </c>
      <c r="J133" s="2">
        <f>4*371</f>
        <v>1484</v>
      </c>
      <c r="K133" s="2">
        <f>4*262</f>
        <v>1048</v>
      </c>
      <c r="L133" s="2">
        <f>4*402</f>
        <v>1608</v>
      </c>
      <c r="M133" s="2">
        <f>4*421</f>
        <v>1684</v>
      </c>
      <c r="N133" s="2">
        <f>4*332</f>
        <v>1328</v>
      </c>
      <c r="O133" s="2">
        <f>4*291</f>
        <v>1164</v>
      </c>
      <c r="P133" s="2">
        <f>4*497</f>
        <v>1988</v>
      </c>
      <c r="Q133" s="5">
        <f>4*299</f>
        <v>1196</v>
      </c>
      <c r="R133" s="5">
        <f>4*403</f>
        <v>1612</v>
      </c>
      <c r="S133" s="5">
        <f>4*466</f>
        <v>1864</v>
      </c>
      <c r="T133" s="2">
        <f>4*678</f>
        <v>2712</v>
      </c>
      <c r="U133" s="2">
        <f>4*502</f>
        <v>2008</v>
      </c>
      <c r="V133" s="2">
        <f>4*297</f>
        <v>1188</v>
      </c>
      <c r="W133" s="6">
        <f>SUM(Table1[[#This Row],[7:00-8:00]:[22:00-23:00]])</f>
        <v>21544</v>
      </c>
    </row>
    <row r="134" spans="2:23" x14ac:dyDescent="0.25">
      <c r="B134" s="101"/>
      <c r="C134" s="107"/>
      <c r="D134" s="21" t="s">
        <v>28</v>
      </c>
      <c r="E134" s="29">
        <v>92</v>
      </c>
      <c r="F134" s="45" t="s">
        <v>180</v>
      </c>
      <c r="G134" s="2">
        <f>4*7</f>
        <v>28</v>
      </c>
      <c r="H134" s="12">
        <f>4*4</f>
        <v>16</v>
      </c>
      <c r="I134">
        <f>4*13</f>
        <v>52</v>
      </c>
      <c r="J134" s="2">
        <f>4*32</f>
        <v>128</v>
      </c>
      <c r="K134" s="2">
        <f>4*62</f>
        <v>248</v>
      </c>
      <c r="L134" s="2">
        <f>4*48</f>
        <v>192</v>
      </c>
      <c r="M134" s="2">
        <f>4*64</f>
        <v>256</v>
      </c>
      <c r="N134" s="2">
        <f>4*42</f>
        <v>168</v>
      </c>
      <c r="O134" s="2">
        <f>4*73</f>
        <v>292</v>
      </c>
      <c r="P134" s="2">
        <f>4*40</f>
        <v>160</v>
      </c>
      <c r="Q134" s="5">
        <f>4*73</f>
        <v>292</v>
      </c>
      <c r="R134" s="5">
        <f>4*46</f>
        <v>184</v>
      </c>
      <c r="S134" s="5">
        <f>4*36</f>
        <v>144</v>
      </c>
      <c r="T134" s="2">
        <f>4*49</f>
        <v>196</v>
      </c>
      <c r="U134" s="2">
        <f>4*62</f>
        <v>248</v>
      </c>
      <c r="V134" s="2">
        <f>4*45</f>
        <v>180</v>
      </c>
      <c r="W134" s="6">
        <f>SUM(Table1[[#This Row],[7:00-8:00]:[22:00-23:00]])</f>
        <v>2784</v>
      </c>
    </row>
    <row r="135" spans="2:23" x14ac:dyDescent="0.25">
      <c r="B135" s="101"/>
      <c r="C135" s="107"/>
      <c r="D135" s="21" t="s">
        <v>30</v>
      </c>
      <c r="E135" s="29">
        <v>93</v>
      </c>
      <c r="F135" s="45" t="s">
        <v>181</v>
      </c>
      <c r="G135" s="2">
        <f>4*5</f>
        <v>20</v>
      </c>
      <c r="H135" s="15">
        <f>4*6</f>
        <v>24</v>
      </c>
      <c r="I135" s="2">
        <f>4*19</f>
        <v>76</v>
      </c>
      <c r="J135" s="2">
        <f>4*26</f>
        <v>104</v>
      </c>
      <c r="K135" s="2">
        <f>4*36</f>
        <v>144</v>
      </c>
      <c r="L135" s="2">
        <f>4*75</f>
        <v>300</v>
      </c>
      <c r="M135" s="2">
        <f>4*56</f>
        <v>224</v>
      </c>
      <c r="N135" s="2">
        <f>4*34</f>
        <v>136</v>
      </c>
      <c r="O135" s="2">
        <f>4*69</f>
        <v>276</v>
      </c>
      <c r="P135" s="2">
        <f>4*52</f>
        <v>208</v>
      </c>
      <c r="Q135" s="5">
        <f>4*60</f>
        <v>240</v>
      </c>
      <c r="R135" s="5">
        <f>4*47</f>
        <v>188</v>
      </c>
      <c r="S135" s="5">
        <f>4*29</f>
        <v>116</v>
      </c>
      <c r="T135" s="2">
        <f>4*55</f>
        <v>220</v>
      </c>
      <c r="U135" s="2">
        <f>4*60</f>
        <v>240</v>
      </c>
      <c r="V135" s="2">
        <f>4*36</f>
        <v>144</v>
      </c>
      <c r="W135" s="6">
        <f>SUM(Table1[[#This Row],[7:00-8:00]:[22:00-23:00]])</f>
        <v>2660</v>
      </c>
    </row>
    <row r="136" spans="2:23" x14ac:dyDescent="0.25">
      <c r="B136" s="101"/>
      <c r="C136" s="107"/>
      <c r="D136" s="21" t="s">
        <v>32</v>
      </c>
      <c r="E136" s="29">
        <v>94</v>
      </c>
      <c r="F136" s="13" t="s">
        <v>182</v>
      </c>
      <c r="G136" s="2">
        <f>4*2</f>
        <v>8</v>
      </c>
      <c r="H136" s="15">
        <f>4*10</f>
        <v>40</v>
      </c>
      <c r="I136" s="2">
        <f>4*15</f>
        <v>60</v>
      </c>
      <c r="J136" s="2">
        <f>4*62</f>
        <v>248</v>
      </c>
      <c r="K136" s="2">
        <f>4*102</f>
        <v>408</v>
      </c>
      <c r="L136" s="2">
        <f>4*32</f>
        <v>128</v>
      </c>
      <c r="M136" s="2">
        <f>4*16</f>
        <v>64</v>
      </c>
      <c r="N136" s="2">
        <f>4*22</f>
        <v>88</v>
      </c>
      <c r="O136" s="2">
        <f>4*15</f>
        <v>60</v>
      </c>
      <c r="P136" s="2">
        <f>4*32</f>
        <v>128</v>
      </c>
      <c r="Q136" s="5">
        <f>4*12</f>
        <v>48</v>
      </c>
      <c r="R136" s="5">
        <f>4*40</f>
        <v>160</v>
      </c>
      <c r="S136" s="5">
        <f>4*12</f>
        <v>48</v>
      </c>
      <c r="T136" s="2">
        <f>4*22</f>
        <v>88</v>
      </c>
      <c r="U136" s="2">
        <f>4*32</f>
        <v>128</v>
      </c>
      <c r="V136" s="2">
        <f>4*7</f>
        <v>28</v>
      </c>
      <c r="W136" s="6">
        <f>SUM(Table1[[#This Row],[7:00-8:00]:[22:00-23:00]])</f>
        <v>1732</v>
      </c>
    </row>
    <row r="137" spans="2:23" x14ac:dyDescent="0.25">
      <c r="B137" s="101"/>
      <c r="C137" s="107"/>
      <c r="D137" s="21" t="s">
        <v>34</v>
      </c>
      <c r="E137" s="29">
        <v>95</v>
      </c>
      <c r="F137" s="13" t="s">
        <v>183</v>
      </c>
      <c r="G137" s="2">
        <f>4*3</f>
        <v>12</v>
      </c>
      <c r="H137" s="15">
        <f>4*13</f>
        <v>52</v>
      </c>
      <c r="I137" s="2">
        <f>4*6</f>
        <v>24</v>
      </c>
      <c r="J137" s="2">
        <f>4*57</f>
        <v>228</v>
      </c>
      <c r="K137" s="2">
        <f>4*63</f>
        <v>252</v>
      </c>
      <c r="L137" s="2">
        <f>4*41</f>
        <v>164</v>
      </c>
      <c r="M137" s="2">
        <f>4*28</f>
        <v>112</v>
      </c>
      <c r="N137" s="2">
        <f>4*48</f>
        <v>192</v>
      </c>
      <c r="O137" s="2">
        <f>4*30</f>
        <v>120</v>
      </c>
      <c r="P137" s="2">
        <f>4*22</f>
        <v>88</v>
      </c>
      <c r="Q137" s="5">
        <f>4*33</f>
        <v>132</v>
      </c>
      <c r="R137" s="5">
        <f>4*32</f>
        <v>128</v>
      </c>
      <c r="S137" s="5">
        <f>4*18</f>
        <v>72</v>
      </c>
      <c r="T137" s="2">
        <f>4*18</f>
        <v>72</v>
      </c>
      <c r="U137" s="2">
        <f>4*38</f>
        <v>152</v>
      </c>
      <c r="V137" s="2">
        <f>4*3</f>
        <v>12</v>
      </c>
      <c r="W137" s="6">
        <f>SUM(Table1[[#This Row],[7:00-8:00]:[22:00-23:00]])</f>
        <v>1812</v>
      </c>
    </row>
    <row r="138" spans="2:23" x14ac:dyDescent="0.25">
      <c r="B138" s="101"/>
      <c r="C138" s="107"/>
      <c r="D138" s="21"/>
      <c r="E138" s="29"/>
      <c r="F138" s="19" t="s">
        <v>184</v>
      </c>
      <c r="G138" s="69">
        <f>G133+G135</f>
        <v>80</v>
      </c>
      <c r="H138" s="69">
        <f t="shared" ref="H138:V138" si="40">H133+H135</f>
        <v>236</v>
      </c>
      <c r="I138" s="69">
        <f t="shared" si="40"/>
        <v>464</v>
      </c>
      <c r="J138" s="69">
        <f t="shared" si="40"/>
        <v>1588</v>
      </c>
      <c r="K138" s="69">
        <f t="shared" si="40"/>
        <v>1192</v>
      </c>
      <c r="L138" s="69">
        <f t="shared" si="40"/>
        <v>1908</v>
      </c>
      <c r="M138" s="69">
        <f t="shared" si="40"/>
        <v>1908</v>
      </c>
      <c r="N138" s="69">
        <f t="shared" si="40"/>
        <v>1464</v>
      </c>
      <c r="O138" s="69">
        <f t="shared" si="40"/>
        <v>1440</v>
      </c>
      <c r="P138" s="69">
        <f t="shared" si="40"/>
        <v>2196</v>
      </c>
      <c r="Q138" s="69">
        <f t="shared" si="40"/>
        <v>1436</v>
      </c>
      <c r="R138" s="69">
        <f t="shared" si="40"/>
        <v>1800</v>
      </c>
      <c r="S138" s="69">
        <f t="shared" si="40"/>
        <v>1980</v>
      </c>
      <c r="T138" s="69">
        <f t="shared" si="40"/>
        <v>2932</v>
      </c>
      <c r="U138" s="69">
        <f t="shared" si="40"/>
        <v>2248</v>
      </c>
      <c r="V138" s="69">
        <f t="shared" si="40"/>
        <v>1332</v>
      </c>
      <c r="W138" s="6">
        <f>SUM(Table1[[#This Row],[7:00-8:00]:[22:00-23:00]])</f>
        <v>24204</v>
      </c>
    </row>
    <row r="139" spans="2:23" x14ac:dyDescent="0.25">
      <c r="B139" s="101"/>
      <c r="C139" s="107"/>
      <c r="D139" s="5"/>
      <c r="E139" s="29"/>
      <c r="F139" s="19" t="s">
        <v>185</v>
      </c>
      <c r="G139" s="69">
        <f>G134+G136</f>
        <v>36</v>
      </c>
      <c r="H139" s="69">
        <f t="shared" ref="H139:V139" si="41">H134+H136</f>
        <v>56</v>
      </c>
      <c r="I139" s="69">
        <f t="shared" si="41"/>
        <v>112</v>
      </c>
      <c r="J139" s="69">
        <f t="shared" si="41"/>
        <v>376</v>
      </c>
      <c r="K139" s="69">
        <f t="shared" si="41"/>
        <v>656</v>
      </c>
      <c r="L139" s="69">
        <f t="shared" si="41"/>
        <v>320</v>
      </c>
      <c r="M139" s="69">
        <f t="shared" si="41"/>
        <v>320</v>
      </c>
      <c r="N139" s="69">
        <f t="shared" si="41"/>
        <v>256</v>
      </c>
      <c r="O139" s="69">
        <f t="shared" si="41"/>
        <v>352</v>
      </c>
      <c r="P139" s="69">
        <f t="shared" si="41"/>
        <v>288</v>
      </c>
      <c r="Q139" s="69">
        <f t="shared" si="41"/>
        <v>340</v>
      </c>
      <c r="R139" s="69">
        <f t="shared" si="41"/>
        <v>344</v>
      </c>
      <c r="S139" s="69">
        <f t="shared" si="41"/>
        <v>192</v>
      </c>
      <c r="T139" s="69">
        <f t="shared" si="41"/>
        <v>284</v>
      </c>
      <c r="U139" s="69">
        <f t="shared" si="41"/>
        <v>376</v>
      </c>
      <c r="V139" s="69">
        <f t="shared" si="41"/>
        <v>208</v>
      </c>
      <c r="W139" s="6">
        <f>SUM(Table1[[#This Row],[7:00-8:00]:[22:00-23:00]])</f>
        <v>4516</v>
      </c>
    </row>
    <row r="140" spans="2:23" x14ac:dyDescent="0.25">
      <c r="B140" s="105"/>
      <c r="C140" s="108"/>
      <c r="D140" s="8"/>
      <c r="E140" s="31"/>
      <c r="F140" s="22" t="s">
        <v>186</v>
      </c>
      <c r="G140" s="51">
        <f>G132+G137</f>
        <v>136</v>
      </c>
      <c r="H140" s="51">
        <f t="shared" ref="H140:V140" si="42">H132+H137</f>
        <v>152</v>
      </c>
      <c r="I140" s="51">
        <f t="shared" si="42"/>
        <v>520</v>
      </c>
      <c r="J140" s="51">
        <f t="shared" si="42"/>
        <v>940</v>
      </c>
      <c r="K140" s="51">
        <f t="shared" si="42"/>
        <v>1660</v>
      </c>
      <c r="L140" s="51">
        <f t="shared" si="42"/>
        <v>1384</v>
      </c>
      <c r="M140" s="51">
        <f t="shared" si="42"/>
        <v>1584</v>
      </c>
      <c r="N140" s="51">
        <f t="shared" si="42"/>
        <v>1796</v>
      </c>
      <c r="O140" s="51">
        <f t="shared" si="42"/>
        <v>1564</v>
      </c>
      <c r="P140" s="51">
        <f t="shared" si="42"/>
        <v>1112</v>
      </c>
      <c r="Q140" s="51">
        <f t="shared" si="42"/>
        <v>1428</v>
      </c>
      <c r="R140" s="51">
        <f t="shared" si="42"/>
        <v>1440</v>
      </c>
      <c r="S140" s="51">
        <f t="shared" si="42"/>
        <v>1720</v>
      </c>
      <c r="T140" s="51">
        <f t="shared" si="42"/>
        <v>1604</v>
      </c>
      <c r="U140" s="51">
        <f t="shared" si="42"/>
        <v>1992</v>
      </c>
      <c r="V140" s="51">
        <f t="shared" si="42"/>
        <v>964</v>
      </c>
      <c r="W140" s="7">
        <f>SUM(Table1[[#This Row],[7:00-8:00]:[22:00-23:00]])</f>
        <v>19996</v>
      </c>
    </row>
    <row r="141" spans="2:23" x14ac:dyDescent="0.25">
      <c r="B141" s="100">
        <v>19</v>
      </c>
      <c r="C141" s="106" t="s">
        <v>187</v>
      </c>
      <c r="D141" s="20" t="s">
        <v>24</v>
      </c>
      <c r="E141" s="32">
        <v>95</v>
      </c>
      <c r="F141" s="5" t="s">
        <v>188</v>
      </c>
      <c r="G141" s="10">
        <f>4*2</f>
        <v>8</v>
      </c>
      <c r="H141" s="18">
        <f>4*7</f>
        <v>28</v>
      </c>
      <c r="I141" s="10">
        <f>4*124</f>
        <v>496</v>
      </c>
      <c r="J141">
        <f>4*28</f>
        <v>112</v>
      </c>
      <c r="K141" s="10">
        <f>4*64</f>
        <v>256</v>
      </c>
      <c r="L141" s="10">
        <f>4*72</f>
        <v>288</v>
      </c>
      <c r="M141" s="10">
        <f>4*56</f>
        <v>224</v>
      </c>
      <c r="N141" s="10">
        <f>4*34</f>
        <v>136</v>
      </c>
      <c r="O141" s="10">
        <f>4*63</f>
        <v>252</v>
      </c>
      <c r="P141" s="10">
        <f>4*67</f>
        <v>268</v>
      </c>
      <c r="Q141" s="10">
        <f>4*64</f>
        <v>256</v>
      </c>
      <c r="R141" s="10">
        <f>4*57</f>
        <v>228</v>
      </c>
      <c r="S141" s="10">
        <f>4*42</f>
        <v>168</v>
      </c>
      <c r="T141" s="10">
        <f>4*58</f>
        <v>232</v>
      </c>
      <c r="U141" s="10">
        <f>4*67</f>
        <v>268</v>
      </c>
      <c r="V141" s="10">
        <f>4*42</f>
        <v>168</v>
      </c>
      <c r="W141" s="11">
        <f>SUM(Table1[[#This Row],[7:00-8:00]:[22:00-23:00]])</f>
        <v>3388</v>
      </c>
    </row>
    <row r="142" spans="2:23" x14ac:dyDescent="0.25">
      <c r="B142" s="101"/>
      <c r="C142" s="107"/>
      <c r="D142" s="21" t="s">
        <v>26</v>
      </c>
      <c r="E142" s="29">
        <v>96</v>
      </c>
      <c r="F142" s="5" t="s">
        <v>189</v>
      </c>
      <c r="G142" s="2">
        <f>4*1</f>
        <v>4</v>
      </c>
      <c r="H142" s="15">
        <f>4*2</f>
        <v>8</v>
      </c>
      <c r="I142" s="2">
        <f>4*87</f>
        <v>348</v>
      </c>
      <c r="J142">
        <f>4*36</f>
        <v>144</v>
      </c>
      <c r="K142" s="2">
        <f>4*24</f>
        <v>96</v>
      </c>
      <c r="L142" s="2">
        <f>4*84</f>
        <v>336</v>
      </c>
      <c r="M142" s="2">
        <f>4*62</f>
        <v>248</v>
      </c>
      <c r="N142" s="2">
        <f>4*45</f>
        <v>180</v>
      </c>
      <c r="O142" s="2">
        <f>4*105</f>
        <v>420</v>
      </c>
      <c r="P142" s="2">
        <f>4*58</f>
        <v>232</v>
      </c>
      <c r="Q142" s="2">
        <f>4*87</f>
        <v>348</v>
      </c>
      <c r="R142" s="2">
        <f>4*58</f>
        <v>232</v>
      </c>
      <c r="S142" s="2">
        <f>4*52</f>
        <v>208</v>
      </c>
      <c r="T142" s="2">
        <f>4*49</f>
        <v>196</v>
      </c>
      <c r="U142" s="2">
        <f>4*57</f>
        <v>228</v>
      </c>
      <c r="V142" s="2">
        <f>4*37</f>
        <v>148</v>
      </c>
      <c r="W142" s="6">
        <f>SUM(Table1[[#This Row],[7:00-8:00]:[22:00-23:00]])</f>
        <v>3376</v>
      </c>
    </row>
    <row r="143" spans="2:23" x14ac:dyDescent="0.25">
      <c r="B143" s="101"/>
      <c r="C143" s="107"/>
      <c r="D143" s="21" t="s">
        <v>28</v>
      </c>
      <c r="E143" s="29">
        <v>97</v>
      </c>
      <c r="F143" s="45" t="s">
        <v>180</v>
      </c>
      <c r="G143" s="2">
        <f>4*20</f>
        <v>80</v>
      </c>
      <c r="H143" s="15">
        <f>4*46</f>
        <v>184</v>
      </c>
      <c r="I143" s="2">
        <f>4*19</f>
        <v>76</v>
      </c>
      <c r="J143">
        <f>4*366</f>
        <v>1464</v>
      </c>
      <c r="K143" s="2">
        <f>4*249</f>
        <v>996</v>
      </c>
      <c r="L143" s="2">
        <f>4*228</f>
        <v>912</v>
      </c>
      <c r="M143" s="2">
        <f>4*251</f>
        <v>1004</v>
      </c>
      <c r="N143" s="2">
        <f>4*264</f>
        <v>1056</v>
      </c>
      <c r="O143" s="2">
        <f>4*205</f>
        <v>820</v>
      </c>
      <c r="P143" s="2">
        <f>4*202</f>
        <v>808</v>
      </c>
      <c r="Q143" s="2">
        <f>4*304</f>
        <v>1216</v>
      </c>
      <c r="R143" s="2">
        <f>4*297</f>
        <v>1188</v>
      </c>
      <c r="S143" s="2">
        <f>4*310</f>
        <v>1240</v>
      </c>
      <c r="T143" s="2">
        <f>4*298</f>
        <v>1192</v>
      </c>
      <c r="U143" s="2">
        <f>4*318</f>
        <v>1272</v>
      </c>
      <c r="V143" s="2">
        <f>4*223</f>
        <v>892</v>
      </c>
      <c r="W143" s="6">
        <f>SUM(Table1[[#This Row],[7:00-8:00]:[22:00-23:00]])</f>
        <v>14400</v>
      </c>
    </row>
    <row r="144" spans="2:23" x14ac:dyDescent="0.25">
      <c r="B144" s="101"/>
      <c r="C144" s="107"/>
      <c r="D144" s="21" t="s">
        <v>30</v>
      </c>
      <c r="E144" s="29">
        <v>98</v>
      </c>
      <c r="F144" s="45" t="s">
        <v>181</v>
      </c>
      <c r="G144" s="2">
        <f>4*11</f>
        <v>44</v>
      </c>
      <c r="H144" s="15">
        <f>4*22</f>
        <v>88</v>
      </c>
      <c r="I144" s="2">
        <f>4*13</f>
        <v>52</v>
      </c>
      <c r="J144">
        <f>4*153</f>
        <v>612</v>
      </c>
      <c r="K144" s="2">
        <f>4*375</f>
        <v>1500</v>
      </c>
      <c r="L144" s="2">
        <f>4*295</f>
        <v>1180</v>
      </c>
      <c r="M144" s="2">
        <f>4*332</f>
        <v>1328</v>
      </c>
      <c r="N144" s="2">
        <f>4*388</f>
        <v>1552</v>
      </c>
      <c r="O144" s="2">
        <f>4*175</f>
        <v>700</v>
      </c>
      <c r="P144" s="2">
        <f>4*357</f>
        <v>1428</v>
      </c>
      <c r="Q144" s="2">
        <f>4*282</f>
        <v>1128</v>
      </c>
      <c r="R144" s="2">
        <f>4*285</f>
        <v>1140</v>
      </c>
      <c r="S144" s="2">
        <f>4*327</f>
        <v>1308</v>
      </c>
      <c r="T144" s="2">
        <f>4*465</f>
        <v>1860</v>
      </c>
      <c r="U144" s="2">
        <f>4*472</f>
        <v>1888</v>
      </c>
      <c r="V144" s="2">
        <f>4*287</f>
        <v>1148</v>
      </c>
      <c r="W144" s="6">
        <f>SUM(Table1[[#This Row],[7:00-8:00]:[22:00-23:00]])</f>
        <v>16956</v>
      </c>
    </row>
    <row r="145" spans="2:23" x14ac:dyDescent="0.25">
      <c r="B145" s="101"/>
      <c r="C145" s="107"/>
      <c r="D145" s="21" t="s">
        <v>32</v>
      </c>
      <c r="E145" s="29">
        <v>99</v>
      </c>
      <c r="F145" s="13" t="s">
        <v>183</v>
      </c>
      <c r="G145" s="2">
        <f>4*16</f>
        <v>64</v>
      </c>
      <c r="H145" s="15">
        <f>4*20</f>
        <v>80</v>
      </c>
      <c r="I145" s="2">
        <f>4*48</f>
        <v>192</v>
      </c>
      <c r="J145">
        <f>4*87</f>
        <v>348</v>
      </c>
      <c r="K145" s="2">
        <f>4*55</f>
        <v>220</v>
      </c>
      <c r="L145" s="2">
        <f>4*103</f>
        <v>412</v>
      </c>
      <c r="M145" s="2">
        <f>4*110</f>
        <v>440</v>
      </c>
      <c r="N145" s="2">
        <f>4*100</f>
        <v>400</v>
      </c>
      <c r="O145" s="2">
        <f>4*202</f>
        <v>808</v>
      </c>
      <c r="P145" s="2">
        <f>4*120</f>
        <v>480</v>
      </c>
      <c r="Q145" s="2">
        <f>4*87</f>
        <v>348</v>
      </c>
      <c r="R145" s="2">
        <f>4*92</f>
        <v>368</v>
      </c>
      <c r="S145" s="2">
        <f>4*127</f>
        <v>508</v>
      </c>
      <c r="T145" s="2">
        <f>4*112</f>
        <v>448</v>
      </c>
      <c r="U145" s="2">
        <f>4*150</f>
        <v>600</v>
      </c>
      <c r="V145" s="2">
        <f>4*72</f>
        <v>288</v>
      </c>
      <c r="W145" s="6">
        <f>SUM(Table1[[#This Row],[7:00-8:00]:[22:00-23:00]])</f>
        <v>6004</v>
      </c>
    </row>
    <row r="146" spans="2:23" x14ac:dyDescent="0.25">
      <c r="B146" s="101"/>
      <c r="C146" s="107"/>
      <c r="D146" s="21" t="s">
        <v>34</v>
      </c>
      <c r="E146" s="29">
        <v>100</v>
      </c>
      <c r="F146" s="13" t="s">
        <v>190</v>
      </c>
      <c r="G146" s="2">
        <f>4*7</f>
        <v>28</v>
      </c>
      <c r="H146" s="15">
        <f>4*15</f>
        <v>60</v>
      </c>
      <c r="I146" s="2">
        <f>4*28</f>
        <v>112</v>
      </c>
      <c r="J146">
        <f>4*93</f>
        <v>372</v>
      </c>
      <c r="K146" s="2">
        <f>4*117</f>
        <v>468</v>
      </c>
      <c r="L146" s="2">
        <f>4*151</f>
        <v>604</v>
      </c>
      <c r="M146" s="2">
        <f>4*155</f>
        <v>620</v>
      </c>
      <c r="N146" s="2">
        <f>4*180</f>
        <v>720</v>
      </c>
      <c r="O146" s="2">
        <f>4*228</f>
        <v>912</v>
      </c>
      <c r="P146" s="2">
        <f>4*306</f>
        <v>1224</v>
      </c>
      <c r="Q146" s="2">
        <f>4*103</f>
        <v>412</v>
      </c>
      <c r="R146" s="2">
        <f>4*153</f>
        <v>612</v>
      </c>
      <c r="S146" s="2">
        <f>4*240</f>
        <v>960</v>
      </c>
      <c r="T146" s="2">
        <f>4*228</f>
        <v>912</v>
      </c>
      <c r="U146" s="2">
        <f>4*268</f>
        <v>1072</v>
      </c>
      <c r="V146" s="2">
        <f>4*201</f>
        <v>804</v>
      </c>
      <c r="W146" s="6">
        <f>SUM(Table1[[#This Row],[7:00-8:00]:[22:00-23:00]])</f>
        <v>9892</v>
      </c>
    </row>
    <row r="147" spans="2:23" x14ac:dyDescent="0.25">
      <c r="B147" s="101"/>
      <c r="C147" s="107"/>
      <c r="D147" s="5"/>
      <c r="E147" s="29"/>
      <c r="F147" s="19" t="s">
        <v>184</v>
      </c>
      <c r="G147" s="69">
        <f>G142+G144</f>
        <v>48</v>
      </c>
      <c r="H147" s="69">
        <f t="shared" ref="H147:V147" si="43">H142+H144</f>
        <v>96</v>
      </c>
      <c r="I147" s="69">
        <f t="shared" si="43"/>
        <v>400</v>
      </c>
      <c r="J147" s="69">
        <f t="shared" si="43"/>
        <v>756</v>
      </c>
      <c r="K147" s="69">
        <f t="shared" si="43"/>
        <v>1596</v>
      </c>
      <c r="L147" s="69">
        <f t="shared" si="43"/>
        <v>1516</v>
      </c>
      <c r="M147" s="69">
        <f t="shared" si="43"/>
        <v>1576</v>
      </c>
      <c r="N147" s="69">
        <f t="shared" si="43"/>
        <v>1732</v>
      </c>
      <c r="O147" s="69">
        <f t="shared" si="43"/>
        <v>1120</v>
      </c>
      <c r="P147" s="69">
        <f t="shared" si="43"/>
        <v>1660</v>
      </c>
      <c r="Q147" s="69">
        <f t="shared" si="43"/>
        <v>1476</v>
      </c>
      <c r="R147" s="69">
        <f t="shared" si="43"/>
        <v>1372</v>
      </c>
      <c r="S147" s="69">
        <f t="shared" si="43"/>
        <v>1516</v>
      </c>
      <c r="T147" s="69">
        <f t="shared" si="43"/>
        <v>2056</v>
      </c>
      <c r="U147" s="69">
        <f t="shared" si="43"/>
        <v>2116</v>
      </c>
      <c r="V147" s="69">
        <f t="shared" si="43"/>
        <v>1296</v>
      </c>
      <c r="W147" s="6">
        <f>SUM(Table1[[#This Row],[7:00-8:00]:[22:00-23:00]])</f>
        <v>20332</v>
      </c>
    </row>
    <row r="148" spans="2:23" x14ac:dyDescent="0.25">
      <c r="B148" s="101"/>
      <c r="C148" s="107"/>
      <c r="D148" s="5"/>
      <c r="E148" s="29"/>
      <c r="F148" s="19" t="s">
        <v>185</v>
      </c>
      <c r="G148" s="69">
        <f>G143+G145</f>
        <v>144</v>
      </c>
      <c r="H148" s="69">
        <f t="shared" ref="H148:V148" si="44">H143+H145</f>
        <v>264</v>
      </c>
      <c r="I148" s="69">
        <f t="shared" si="44"/>
        <v>268</v>
      </c>
      <c r="J148" s="69">
        <f t="shared" si="44"/>
        <v>1812</v>
      </c>
      <c r="K148" s="69">
        <f t="shared" si="44"/>
        <v>1216</v>
      </c>
      <c r="L148" s="69">
        <f t="shared" si="44"/>
        <v>1324</v>
      </c>
      <c r="M148" s="69">
        <f t="shared" si="44"/>
        <v>1444</v>
      </c>
      <c r="N148" s="69">
        <f t="shared" si="44"/>
        <v>1456</v>
      </c>
      <c r="O148" s="69">
        <f t="shared" si="44"/>
        <v>1628</v>
      </c>
      <c r="P148" s="69">
        <f t="shared" si="44"/>
        <v>1288</v>
      </c>
      <c r="Q148" s="69">
        <f t="shared" si="44"/>
        <v>1564</v>
      </c>
      <c r="R148" s="69">
        <f t="shared" si="44"/>
        <v>1556</v>
      </c>
      <c r="S148" s="69">
        <f t="shared" si="44"/>
        <v>1748</v>
      </c>
      <c r="T148" s="69">
        <f t="shared" si="44"/>
        <v>1640</v>
      </c>
      <c r="U148" s="69">
        <f t="shared" si="44"/>
        <v>1872</v>
      </c>
      <c r="V148" s="69">
        <f t="shared" si="44"/>
        <v>1180</v>
      </c>
      <c r="W148" s="6">
        <f>SUM(Table1[[#This Row],[7:00-8:00]:[22:00-23:00]])</f>
        <v>20404</v>
      </c>
    </row>
    <row r="149" spans="2:23" x14ac:dyDescent="0.25">
      <c r="B149" s="105"/>
      <c r="C149" s="108"/>
      <c r="D149" s="8"/>
      <c r="E149" s="31"/>
      <c r="F149" s="22" t="s">
        <v>186</v>
      </c>
      <c r="G149" s="51">
        <f>G141+G146</f>
        <v>36</v>
      </c>
      <c r="H149" s="51">
        <f t="shared" ref="H149:V149" si="45">H141+H146</f>
        <v>88</v>
      </c>
      <c r="I149" s="51">
        <f t="shared" si="45"/>
        <v>608</v>
      </c>
      <c r="J149" s="51">
        <f t="shared" si="45"/>
        <v>484</v>
      </c>
      <c r="K149" s="51">
        <f t="shared" si="45"/>
        <v>724</v>
      </c>
      <c r="L149" s="51">
        <f t="shared" si="45"/>
        <v>892</v>
      </c>
      <c r="M149" s="51">
        <f t="shared" si="45"/>
        <v>844</v>
      </c>
      <c r="N149" s="51">
        <f t="shared" si="45"/>
        <v>856</v>
      </c>
      <c r="O149" s="51">
        <f t="shared" si="45"/>
        <v>1164</v>
      </c>
      <c r="P149" s="51">
        <f t="shared" si="45"/>
        <v>1492</v>
      </c>
      <c r="Q149" s="51">
        <f t="shared" si="45"/>
        <v>668</v>
      </c>
      <c r="R149" s="51">
        <f t="shared" si="45"/>
        <v>840</v>
      </c>
      <c r="S149" s="51">
        <f t="shared" si="45"/>
        <v>1128</v>
      </c>
      <c r="T149" s="51">
        <f t="shared" si="45"/>
        <v>1144</v>
      </c>
      <c r="U149" s="51">
        <f t="shared" si="45"/>
        <v>1340</v>
      </c>
      <c r="V149" s="51">
        <f t="shared" si="45"/>
        <v>972</v>
      </c>
      <c r="W149" s="7">
        <f>SUM(Table1[[#This Row],[7:00-8:00]:[22:00-23:00]])</f>
        <v>13280</v>
      </c>
    </row>
    <row r="150" spans="2:23" x14ac:dyDescent="0.25">
      <c r="B150" s="100">
        <v>20</v>
      </c>
      <c r="C150" s="106" t="s">
        <v>191</v>
      </c>
      <c r="D150" s="20" t="s">
        <v>24</v>
      </c>
      <c r="E150" s="32">
        <v>100</v>
      </c>
      <c r="F150" s="17" t="s">
        <v>192</v>
      </c>
      <c r="G150" s="10">
        <f>4*3</f>
        <v>12</v>
      </c>
      <c r="H150" s="18">
        <f>4*19</f>
        <v>76</v>
      </c>
      <c r="I150" s="18">
        <f>4*81</f>
        <v>324</v>
      </c>
      <c r="J150" s="10">
        <f>4*128</f>
        <v>512</v>
      </c>
      <c r="K150" s="10">
        <f>4*130</f>
        <v>520</v>
      </c>
      <c r="L150" s="18">
        <f>4*152</f>
        <v>608</v>
      </c>
      <c r="M150" s="18">
        <f>4*171</f>
        <v>684</v>
      </c>
      <c r="N150" s="10">
        <f>4*142</f>
        <v>568</v>
      </c>
      <c r="O150" s="10">
        <f>4*123</f>
        <v>492</v>
      </c>
      <c r="P150" s="18">
        <f>4*126</f>
        <v>504</v>
      </c>
      <c r="Q150" s="18">
        <f>4*87</f>
        <v>348</v>
      </c>
      <c r="R150" s="18">
        <f>4*82</f>
        <v>328</v>
      </c>
      <c r="S150" s="18">
        <f>4*130</f>
        <v>520</v>
      </c>
      <c r="T150" s="10">
        <f>4*139</f>
        <v>556</v>
      </c>
      <c r="U150" s="18">
        <f>4*167</f>
        <v>668</v>
      </c>
      <c r="V150" s="10">
        <f>4*112</f>
        <v>448</v>
      </c>
      <c r="W150" s="11">
        <f>SUM(Table1[[#This Row],[7:00-8:00]:[22:00-23:00]])</f>
        <v>7168</v>
      </c>
    </row>
    <row r="151" spans="2:23" x14ac:dyDescent="0.25">
      <c r="B151" s="101"/>
      <c r="C151" s="107"/>
      <c r="D151" s="21" t="s">
        <v>26</v>
      </c>
      <c r="E151" s="29">
        <v>101</v>
      </c>
      <c r="F151" s="13" t="s">
        <v>193</v>
      </c>
      <c r="G151" s="2">
        <f>4*2</f>
        <v>8</v>
      </c>
      <c r="H151" s="15">
        <f>4*10</f>
        <v>40</v>
      </c>
      <c r="I151" s="15">
        <f>4*10</f>
        <v>40</v>
      </c>
      <c r="J151" s="2">
        <f>4*86</f>
        <v>344</v>
      </c>
      <c r="K151" s="2">
        <f>4*93</f>
        <v>372</v>
      </c>
      <c r="L151" s="15">
        <f>4*129</f>
        <v>516</v>
      </c>
      <c r="M151" s="15">
        <f>4*148</f>
        <v>592</v>
      </c>
      <c r="N151" s="2">
        <f>4*93</f>
        <v>372</v>
      </c>
      <c r="O151" s="2">
        <f>4*79</f>
        <v>316</v>
      </c>
      <c r="P151" s="15">
        <f>4*78</f>
        <v>312</v>
      </c>
      <c r="Q151" s="15">
        <f>4*64</f>
        <v>256</v>
      </c>
      <c r="R151" s="15">
        <f>4*60</f>
        <v>240</v>
      </c>
      <c r="S151" s="15">
        <f>4*64</f>
        <v>256</v>
      </c>
      <c r="T151" s="2">
        <f>4*45</f>
        <v>180</v>
      </c>
      <c r="U151" s="15">
        <f>4*72</f>
        <v>288</v>
      </c>
      <c r="V151" s="2">
        <f>4*59</f>
        <v>236</v>
      </c>
      <c r="W151" s="6">
        <f>SUM(Table1[[#This Row],[7:00-8:00]:[22:00-23:00]])</f>
        <v>4368</v>
      </c>
    </row>
    <row r="152" spans="2:23" x14ac:dyDescent="0.25">
      <c r="B152" s="101"/>
      <c r="C152" s="107"/>
      <c r="D152" s="21" t="s">
        <v>28</v>
      </c>
      <c r="E152" s="29">
        <v>102</v>
      </c>
      <c r="F152" s="13" t="s">
        <v>194</v>
      </c>
      <c r="G152" s="2">
        <f>4*22</f>
        <v>88</v>
      </c>
      <c r="H152" s="15">
        <f>4*54</f>
        <v>216</v>
      </c>
      <c r="I152" s="2">
        <f>4*136</f>
        <v>544</v>
      </c>
      <c r="J152" s="2">
        <f>4*295</f>
        <v>1180</v>
      </c>
      <c r="K152" s="2">
        <f>4*321</f>
        <v>1284</v>
      </c>
      <c r="L152" s="2">
        <f>4*232</f>
        <v>928</v>
      </c>
      <c r="M152" s="2">
        <f>4*273</f>
        <v>1092</v>
      </c>
      <c r="N152" s="2">
        <f>4*248</f>
        <v>992</v>
      </c>
      <c r="O152" s="2">
        <f>4*273</f>
        <v>1092</v>
      </c>
      <c r="P152" s="2">
        <f>4*363</f>
        <v>1452</v>
      </c>
      <c r="Q152" s="2">
        <f>4*288</f>
        <v>1152</v>
      </c>
      <c r="R152" s="2">
        <f>4*243</f>
        <v>972</v>
      </c>
      <c r="S152" s="2">
        <f>4*222</f>
        <v>888</v>
      </c>
      <c r="T152" s="2">
        <f>4*378</f>
        <v>1512</v>
      </c>
      <c r="U152" s="2">
        <f>4*423</f>
        <v>1692</v>
      </c>
      <c r="V152" s="2">
        <f>4*167</f>
        <v>668</v>
      </c>
      <c r="W152" s="6">
        <f>SUM(Table1[[#This Row],[7:00-8:00]:[22:00-23:00]])</f>
        <v>15752</v>
      </c>
    </row>
    <row r="153" spans="2:23" x14ac:dyDescent="0.25">
      <c r="B153" s="101"/>
      <c r="C153" s="107"/>
      <c r="D153" s="21" t="s">
        <v>30</v>
      </c>
      <c r="E153" s="29">
        <v>103</v>
      </c>
      <c r="F153" s="13" t="s">
        <v>195</v>
      </c>
      <c r="G153" s="2">
        <f>4*18</f>
        <v>72</v>
      </c>
      <c r="H153" s="15">
        <f>4*55</f>
        <v>220</v>
      </c>
      <c r="I153" s="2">
        <f>4*229</f>
        <v>916</v>
      </c>
      <c r="J153" s="2">
        <f>4*342</f>
        <v>1368</v>
      </c>
      <c r="K153" s="2">
        <f>4*652</f>
        <v>2608</v>
      </c>
      <c r="L153" s="2">
        <f>4*231</f>
        <v>924</v>
      </c>
      <c r="M153" s="2">
        <f>4*315</f>
        <v>1260</v>
      </c>
      <c r="N153" s="2">
        <f>4*326</f>
        <v>1304</v>
      </c>
      <c r="O153" s="2">
        <f>4*378</f>
        <v>1512</v>
      </c>
      <c r="P153" s="2">
        <f>4*384</f>
        <v>1536</v>
      </c>
      <c r="Q153" s="2">
        <f>4*112</f>
        <v>448</v>
      </c>
      <c r="R153" s="2">
        <f>4*213</f>
        <v>852</v>
      </c>
      <c r="S153" s="2">
        <f>4*246</f>
        <v>984</v>
      </c>
      <c r="T153" s="2">
        <f>4*769</f>
        <v>3076</v>
      </c>
      <c r="U153" s="2">
        <f>4*739</f>
        <v>2956</v>
      </c>
      <c r="V153" s="2">
        <f>4*231</f>
        <v>924</v>
      </c>
      <c r="W153" s="6">
        <f>SUM(Table1[[#This Row],[7:00-8:00]:[22:00-23:00]])</f>
        <v>20960</v>
      </c>
    </row>
    <row r="154" spans="2:23" x14ac:dyDescent="0.25">
      <c r="B154" s="101"/>
      <c r="C154" s="107"/>
      <c r="D154" s="21" t="s">
        <v>32</v>
      </c>
      <c r="E154" s="29">
        <v>104</v>
      </c>
      <c r="F154" s="13" t="s">
        <v>196</v>
      </c>
      <c r="G154" s="2">
        <f>4*5</f>
        <v>20</v>
      </c>
      <c r="H154" s="15">
        <f>4*22</f>
        <v>88</v>
      </c>
      <c r="I154" s="2">
        <f>4*64</f>
        <v>256</v>
      </c>
      <c r="J154" s="2">
        <f>4*100</f>
        <v>400</v>
      </c>
      <c r="K154" s="2">
        <f>4*123</f>
        <v>492</v>
      </c>
      <c r="L154" s="2">
        <f>4*22</f>
        <v>88</v>
      </c>
      <c r="M154" s="2">
        <f>4*41</f>
        <v>164</v>
      </c>
      <c r="N154" s="2">
        <f>4*51</f>
        <v>204</v>
      </c>
      <c r="O154" s="2">
        <f>4*106</f>
        <v>424</v>
      </c>
      <c r="P154" s="2">
        <f>4*217</f>
        <v>868</v>
      </c>
      <c r="Q154" s="2">
        <f>4*93</f>
        <v>372</v>
      </c>
      <c r="R154" s="2">
        <f>4*102</f>
        <v>408</v>
      </c>
      <c r="S154" s="2">
        <f>4*133</f>
        <v>532</v>
      </c>
      <c r="T154" s="2">
        <f>4*102</f>
        <v>408</v>
      </c>
      <c r="U154" s="2">
        <f>4*172</f>
        <v>688</v>
      </c>
      <c r="V154" s="2">
        <f>4*117</f>
        <v>468</v>
      </c>
      <c r="W154" s="6">
        <f>SUM(Table1[[#This Row],[7:00-8:00]:[22:00-23:00]])</f>
        <v>5880</v>
      </c>
    </row>
    <row r="155" spans="2:23" x14ac:dyDescent="0.25">
      <c r="B155" s="101"/>
      <c r="C155" s="107"/>
      <c r="D155" s="21" t="s">
        <v>34</v>
      </c>
      <c r="E155" s="29">
        <v>105</v>
      </c>
      <c r="F155" s="13" t="s">
        <v>197</v>
      </c>
      <c r="G155" s="2">
        <f>4*6</f>
        <v>24</v>
      </c>
      <c r="H155" s="15">
        <f>4*10</f>
        <v>40</v>
      </c>
      <c r="I155" s="2">
        <f>4*81</f>
        <v>324</v>
      </c>
      <c r="J155" s="2">
        <f>4*92</f>
        <v>368</v>
      </c>
      <c r="K155" s="2">
        <f>4*109</f>
        <v>436</v>
      </c>
      <c r="L155" s="2">
        <f>4*93</f>
        <v>372</v>
      </c>
      <c r="M155" s="2">
        <f>4*108</f>
        <v>432</v>
      </c>
      <c r="N155" s="2">
        <f>4*99</f>
        <v>396</v>
      </c>
      <c r="O155" s="2">
        <f>4*96</f>
        <v>384</v>
      </c>
      <c r="P155" s="2">
        <f>4*156</f>
        <v>624</v>
      </c>
      <c r="Q155" s="2">
        <f>4*90</f>
        <v>360</v>
      </c>
      <c r="R155" s="2">
        <f>4*187</f>
        <v>748</v>
      </c>
      <c r="S155" s="2">
        <f>4*253</f>
        <v>1012</v>
      </c>
      <c r="T155" s="2">
        <f>4*190</f>
        <v>760</v>
      </c>
      <c r="U155" s="2">
        <f>4*302</f>
        <v>1208</v>
      </c>
      <c r="V155" s="2">
        <f>4*167</f>
        <v>668</v>
      </c>
      <c r="W155" s="6">
        <f>SUM(Table1[[#This Row],[7:00-8:00]:[22:00-23:00]])</f>
        <v>8156</v>
      </c>
    </row>
    <row r="156" spans="2:23" x14ac:dyDescent="0.25">
      <c r="B156" s="101"/>
      <c r="C156" s="107"/>
      <c r="D156" s="5"/>
      <c r="E156" s="29"/>
      <c r="F156" s="48" t="s">
        <v>198</v>
      </c>
      <c r="G156" s="69">
        <f>G150+G155</f>
        <v>36</v>
      </c>
      <c r="H156" s="69">
        <f t="shared" ref="H156:V156" si="46">H150+H155</f>
        <v>116</v>
      </c>
      <c r="I156" s="69">
        <f t="shared" si="46"/>
        <v>648</v>
      </c>
      <c r="J156" s="69">
        <f t="shared" si="46"/>
        <v>880</v>
      </c>
      <c r="K156" s="69">
        <f t="shared" si="46"/>
        <v>956</v>
      </c>
      <c r="L156" s="69">
        <f t="shared" si="46"/>
        <v>980</v>
      </c>
      <c r="M156" s="69">
        <f t="shared" si="46"/>
        <v>1116</v>
      </c>
      <c r="N156" s="69">
        <f t="shared" si="46"/>
        <v>964</v>
      </c>
      <c r="O156" s="69">
        <f t="shared" si="46"/>
        <v>876</v>
      </c>
      <c r="P156" s="69">
        <f t="shared" si="46"/>
        <v>1128</v>
      </c>
      <c r="Q156" s="69">
        <f t="shared" si="46"/>
        <v>708</v>
      </c>
      <c r="R156" s="69">
        <f t="shared" si="46"/>
        <v>1076</v>
      </c>
      <c r="S156" s="69">
        <f t="shared" si="46"/>
        <v>1532</v>
      </c>
      <c r="T156" s="69">
        <f t="shared" si="46"/>
        <v>1316</v>
      </c>
      <c r="U156" s="69">
        <f t="shared" si="46"/>
        <v>1876</v>
      </c>
      <c r="V156" s="69">
        <f t="shared" si="46"/>
        <v>1116</v>
      </c>
      <c r="W156" s="6">
        <f>SUM(Table1[[#This Row],[7:00-8:00]:[22:00-23:00]])</f>
        <v>15324</v>
      </c>
    </row>
    <row r="157" spans="2:23" x14ac:dyDescent="0.25">
      <c r="B157" s="101"/>
      <c r="C157" s="107"/>
      <c r="D157" s="5"/>
      <c r="E157" s="29"/>
      <c r="F157" s="48" t="s">
        <v>199</v>
      </c>
      <c r="G157" s="69">
        <f>G153+G151</f>
        <v>80</v>
      </c>
      <c r="H157" s="69">
        <f t="shared" ref="H157:V157" si="47">H153+H151</f>
        <v>260</v>
      </c>
      <c r="I157" s="69">
        <f t="shared" si="47"/>
        <v>956</v>
      </c>
      <c r="J157" s="69">
        <f t="shared" si="47"/>
        <v>1712</v>
      </c>
      <c r="K157" s="69">
        <f t="shared" si="47"/>
        <v>2980</v>
      </c>
      <c r="L157" s="69">
        <f t="shared" si="47"/>
        <v>1440</v>
      </c>
      <c r="M157" s="69">
        <f t="shared" si="47"/>
        <v>1852</v>
      </c>
      <c r="N157" s="69">
        <f t="shared" si="47"/>
        <v>1676</v>
      </c>
      <c r="O157" s="69">
        <f t="shared" si="47"/>
        <v>1828</v>
      </c>
      <c r="P157" s="69">
        <f t="shared" si="47"/>
        <v>1848</v>
      </c>
      <c r="Q157" s="69">
        <f t="shared" si="47"/>
        <v>704</v>
      </c>
      <c r="R157" s="69">
        <f t="shared" si="47"/>
        <v>1092</v>
      </c>
      <c r="S157" s="69">
        <f t="shared" si="47"/>
        <v>1240</v>
      </c>
      <c r="T157" s="69">
        <f t="shared" si="47"/>
        <v>3256</v>
      </c>
      <c r="U157" s="69">
        <f t="shared" si="47"/>
        <v>3244</v>
      </c>
      <c r="V157" s="69">
        <f t="shared" si="47"/>
        <v>1160</v>
      </c>
      <c r="W157" s="6">
        <f>SUM(Table1[[#This Row],[7:00-8:00]:[22:00-23:00]])</f>
        <v>25328</v>
      </c>
    </row>
    <row r="158" spans="2:23" x14ac:dyDescent="0.25">
      <c r="B158" s="101"/>
      <c r="C158" s="107"/>
      <c r="D158" s="5"/>
      <c r="E158" s="29"/>
      <c r="F158" s="48" t="s">
        <v>200</v>
      </c>
      <c r="G158" s="69">
        <f>G152+G154</f>
        <v>108</v>
      </c>
      <c r="H158" s="69">
        <f t="shared" ref="H158:V158" si="48">H152+H154</f>
        <v>304</v>
      </c>
      <c r="I158" s="69">
        <f t="shared" si="48"/>
        <v>800</v>
      </c>
      <c r="J158" s="69">
        <f t="shared" si="48"/>
        <v>1580</v>
      </c>
      <c r="K158" s="69">
        <f t="shared" si="48"/>
        <v>1776</v>
      </c>
      <c r="L158" s="51">
        <f t="shared" si="48"/>
        <v>1016</v>
      </c>
      <c r="M158" s="51">
        <f t="shared" si="48"/>
        <v>1256</v>
      </c>
      <c r="N158" s="51">
        <f t="shared" si="48"/>
        <v>1196</v>
      </c>
      <c r="O158" s="51">
        <f t="shared" si="48"/>
        <v>1516</v>
      </c>
      <c r="P158" s="51">
        <f t="shared" si="48"/>
        <v>2320</v>
      </c>
      <c r="Q158" s="51">
        <f t="shared" si="48"/>
        <v>1524</v>
      </c>
      <c r="R158" s="51">
        <f t="shared" si="48"/>
        <v>1380</v>
      </c>
      <c r="S158" s="51">
        <f t="shared" si="48"/>
        <v>1420</v>
      </c>
      <c r="T158" s="69">
        <f t="shared" si="48"/>
        <v>1920</v>
      </c>
      <c r="U158" s="69">
        <f t="shared" si="48"/>
        <v>2380</v>
      </c>
      <c r="V158" s="69">
        <f t="shared" si="48"/>
        <v>1136</v>
      </c>
      <c r="W158" s="6">
        <f>SUM(Table1[[#This Row],[7:00-8:00]:[22:00-23:00]])</f>
        <v>21632</v>
      </c>
    </row>
    <row r="159" spans="2:23" x14ac:dyDescent="0.25">
      <c r="B159" s="100">
        <v>21</v>
      </c>
      <c r="C159" s="106" t="s">
        <v>201</v>
      </c>
      <c r="D159" s="9" t="s">
        <v>24</v>
      </c>
      <c r="E159" s="32">
        <v>106</v>
      </c>
      <c r="F159" s="10" t="s">
        <v>202</v>
      </c>
      <c r="G159" s="10">
        <f>4*4</f>
        <v>16</v>
      </c>
      <c r="H159" s="18">
        <f>4*15</f>
        <v>60</v>
      </c>
      <c r="I159" s="10">
        <f>4*49</f>
        <v>196</v>
      </c>
      <c r="J159" s="10">
        <f>4*58</f>
        <v>232</v>
      </c>
      <c r="K159" s="10">
        <f>4*81</f>
        <v>324</v>
      </c>
      <c r="L159">
        <f>4*112</f>
        <v>448</v>
      </c>
      <c r="M159">
        <f>4*33</f>
        <v>132</v>
      </c>
      <c r="N159">
        <f>4*115</f>
        <v>460</v>
      </c>
      <c r="O159">
        <f>4*79</f>
        <v>316</v>
      </c>
      <c r="P159">
        <f>4*55</f>
        <v>220</v>
      </c>
      <c r="Q159">
        <f>4*42</f>
        <v>168</v>
      </c>
      <c r="R159">
        <f>4*37</f>
        <v>148</v>
      </c>
      <c r="S159">
        <f>4*46</f>
        <v>184</v>
      </c>
      <c r="T159" s="10">
        <f>4*103</f>
        <v>412</v>
      </c>
      <c r="U159" s="10">
        <f>4*111</f>
        <v>444</v>
      </c>
      <c r="V159" s="10">
        <f>4*62</f>
        <v>248</v>
      </c>
      <c r="W159" s="11">
        <f>SUM(Table1[[#This Row],[7:00-8:00]:[22:00-23:00]])</f>
        <v>4008</v>
      </c>
    </row>
    <row r="160" spans="2:23" x14ac:dyDescent="0.25">
      <c r="B160" s="101"/>
      <c r="C160" s="107"/>
      <c r="D160" s="5" t="s">
        <v>26</v>
      </c>
      <c r="E160" s="29">
        <v>107</v>
      </c>
      <c r="F160" s="55" t="s">
        <v>203</v>
      </c>
      <c r="G160" s="2">
        <f>4*7</f>
        <v>28</v>
      </c>
      <c r="H160" s="15">
        <f>4*18</f>
        <v>72</v>
      </c>
      <c r="I160" s="2">
        <f>4*35</f>
        <v>140</v>
      </c>
      <c r="J160" s="2">
        <f>4*49</f>
        <v>196</v>
      </c>
      <c r="K160" s="2">
        <f>4*136</f>
        <v>544</v>
      </c>
      <c r="L160">
        <f>4*58</f>
        <v>232</v>
      </c>
      <c r="M160">
        <f>4*62</f>
        <v>248</v>
      </c>
      <c r="N160">
        <f>4*37</f>
        <v>148</v>
      </c>
      <c r="O160">
        <f>4*52</f>
        <v>208</v>
      </c>
      <c r="P160">
        <f>4*82</f>
        <v>328</v>
      </c>
      <c r="Q160">
        <f>4*69</f>
        <v>276</v>
      </c>
      <c r="R160">
        <f>4*47</f>
        <v>188</v>
      </c>
      <c r="S160">
        <f>4*40</f>
        <v>160</v>
      </c>
      <c r="T160" s="2">
        <f>4*79</f>
        <v>316</v>
      </c>
      <c r="U160" s="2">
        <f>4*86</f>
        <v>344</v>
      </c>
      <c r="V160" s="2">
        <f>4*41</f>
        <v>164</v>
      </c>
      <c r="W160" s="6">
        <f>SUM(Table1[[#This Row],[7:00-8:00]:[22:00-23:00]])</f>
        <v>3592</v>
      </c>
    </row>
    <row r="161" spans="2:24" x14ac:dyDescent="0.25">
      <c r="B161" s="101"/>
      <c r="C161" s="107"/>
      <c r="D161" s="5" t="s">
        <v>28</v>
      </c>
      <c r="E161" s="29">
        <v>108</v>
      </c>
      <c r="F161" s="13" t="s">
        <v>204</v>
      </c>
      <c r="G161" s="2">
        <f>4*18</f>
        <v>72</v>
      </c>
      <c r="H161" s="15">
        <f>4*31</f>
        <v>124</v>
      </c>
      <c r="I161" s="2">
        <f>4*36</f>
        <v>144</v>
      </c>
      <c r="J161" s="2">
        <f>4*54</f>
        <v>216</v>
      </c>
      <c r="K161" s="2">
        <f>4*24</f>
        <v>96</v>
      </c>
      <c r="L161">
        <f>4*88</f>
        <v>352</v>
      </c>
      <c r="M161">
        <f>4*57</f>
        <v>228</v>
      </c>
      <c r="N161">
        <f>4*34</f>
        <v>136</v>
      </c>
      <c r="O161">
        <f>4*34</f>
        <v>136</v>
      </c>
      <c r="P161">
        <f>4*37</f>
        <v>148</v>
      </c>
      <c r="Q161">
        <f>4*35</f>
        <v>140</v>
      </c>
      <c r="R161">
        <f>4*31</f>
        <v>124</v>
      </c>
      <c r="S161">
        <f>4*24</f>
        <v>96</v>
      </c>
      <c r="T161" s="2">
        <f>4*10</f>
        <v>40</v>
      </c>
      <c r="U161" s="2">
        <f>4*16</f>
        <v>64</v>
      </c>
      <c r="V161" s="2">
        <f>4*7</f>
        <v>28</v>
      </c>
      <c r="W161" s="6">
        <f>SUM(Table1[[#This Row],[7:00-8:00]:[22:00-23:00]])</f>
        <v>2144</v>
      </c>
    </row>
    <row r="162" spans="2:24" x14ac:dyDescent="0.25">
      <c r="B162" s="101"/>
      <c r="C162" s="107"/>
      <c r="D162" s="5" t="s">
        <v>30</v>
      </c>
      <c r="E162" s="29">
        <v>109</v>
      </c>
      <c r="F162" s="55" t="s">
        <v>205</v>
      </c>
      <c r="G162" s="2">
        <f>4*10</f>
        <v>40</v>
      </c>
      <c r="H162" s="15">
        <f>4*20</f>
        <v>80</v>
      </c>
      <c r="I162" s="2">
        <f>4*42</f>
        <v>168</v>
      </c>
      <c r="J162" s="2">
        <f>4*49</f>
        <v>196</v>
      </c>
      <c r="K162" s="2">
        <f>4*67</f>
        <v>268</v>
      </c>
      <c r="L162">
        <f>4*57</f>
        <v>228</v>
      </c>
      <c r="M162">
        <f>4*66</f>
        <v>264</v>
      </c>
      <c r="N162">
        <f>4*15</f>
        <v>60</v>
      </c>
      <c r="O162">
        <f>4*37</f>
        <v>148</v>
      </c>
      <c r="P162">
        <f>4*30</f>
        <v>120</v>
      </c>
      <c r="Q162">
        <f>4*27</f>
        <v>108</v>
      </c>
      <c r="R162">
        <f>4*22</f>
        <v>88</v>
      </c>
      <c r="S162">
        <f>4*21</f>
        <v>84</v>
      </c>
      <c r="T162" s="2">
        <f>4*39</f>
        <v>156</v>
      </c>
      <c r="U162" s="2">
        <f>4*24</f>
        <v>96</v>
      </c>
      <c r="V162" s="2">
        <f>4*9</f>
        <v>36</v>
      </c>
      <c r="W162" s="6">
        <f>SUM(Table1[[#This Row],[7:00-8:00]:[22:00-23:00]])</f>
        <v>2140</v>
      </c>
    </row>
    <row r="163" spans="2:24" x14ac:dyDescent="0.25">
      <c r="B163" s="101"/>
      <c r="C163" s="107"/>
      <c r="D163" s="5"/>
      <c r="E163" s="29"/>
      <c r="F163" s="48" t="s">
        <v>206</v>
      </c>
      <c r="G163" s="65">
        <f>G160+G162</f>
        <v>68</v>
      </c>
      <c r="H163" s="65">
        <f t="shared" ref="H163:V163" si="49">H160+H162</f>
        <v>152</v>
      </c>
      <c r="I163" s="65">
        <f t="shared" si="49"/>
        <v>308</v>
      </c>
      <c r="J163" s="65">
        <f t="shared" si="49"/>
        <v>392</v>
      </c>
      <c r="K163" s="65">
        <f t="shared" si="49"/>
        <v>812</v>
      </c>
      <c r="L163" s="65">
        <f t="shared" si="49"/>
        <v>460</v>
      </c>
      <c r="M163" s="65">
        <f t="shared" si="49"/>
        <v>512</v>
      </c>
      <c r="N163" s="65">
        <f t="shared" si="49"/>
        <v>208</v>
      </c>
      <c r="O163" s="65">
        <f t="shared" si="49"/>
        <v>356</v>
      </c>
      <c r="P163" s="65">
        <f t="shared" si="49"/>
        <v>448</v>
      </c>
      <c r="Q163" s="65">
        <f t="shared" si="49"/>
        <v>384</v>
      </c>
      <c r="R163" s="65">
        <f t="shared" si="49"/>
        <v>276</v>
      </c>
      <c r="S163" s="65">
        <f t="shared" si="49"/>
        <v>244</v>
      </c>
      <c r="T163" s="65">
        <f t="shared" si="49"/>
        <v>472</v>
      </c>
      <c r="U163" s="65">
        <f t="shared" si="49"/>
        <v>440</v>
      </c>
      <c r="V163" s="65">
        <f t="shared" si="49"/>
        <v>200</v>
      </c>
      <c r="W163" s="6">
        <f>SUM(Table1[[#This Row],[7:00-8:00]:[22:00-23:00]])</f>
        <v>5732</v>
      </c>
    </row>
    <row r="164" spans="2:24" x14ac:dyDescent="0.25">
      <c r="B164" s="101"/>
      <c r="C164" s="107"/>
      <c r="D164" s="5"/>
      <c r="E164" s="31"/>
      <c r="F164" s="48" t="s">
        <v>207</v>
      </c>
      <c r="G164" s="65">
        <f>G159+G161</f>
        <v>88</v>
      </c>
      <c r="H164" s="65">
        <f t="shared" ref="H164:V164" si="50">H159+H161</f>
        <v>184</v>
      </c>
      <c r="I164" s="65">
        <f t="shared" si="50"/>
        <v>340</v>
      </c>
      <c r="J164" s="65">
        <f t="shared" si="50"/>
        <v>448</v>
      </c>
      <c r="K164" s="63">
        <f t="shared" si="50"/>
        <v>420</v>
      </c>
      <c r="L164" s="63">
        <f t="shared" si="50"/>
        <v>800</v>
      </c>
      <c r="M164" s="63">
        <f t="shared" si="50"/>
        <v>360</v>
      </c>
      <c r="N164" s="63">
        <f t="shared" si="50"/>
        <v>596</v>
      </c>
      <c r="O164" s="63">
        <f t="shared" si="50"/>
        <v>452</v>
      </c>
      <c r="P164" s="63">
        <f t="shared" si="50"/>
        <v>368</v>
      </c>
      <c r="Q164" s="63">
        <f t="shared" si="50"/>
        <v>308</v>
      </c>
      <c r="R164" s="63">
        <f t="shared" si="50"/>
        <v>272</v>
      </c>
      <c r="S164" s="63">
        <f t="shared" si="50"/>
        <v>280</v>
      </c>
      <c r="T164" s="63">
        <f t="shared" si="50"/>
        <v>452</v>
      </c>
      <c r="U164" s="63">
        <f t="shared" si="50"/>
        <v>508</v>
      </c>
      <c r="V164" s="65">
        <f t="shared" si="50"/>
        <v>276</v>
      </c>
      <c r="W164" s="6">
        <f>SUM(Table1[[#This Row],[7:00-8:00]:[22:00-23:00]])</f>
        <v>6152</v>
      </c>
    </row>
    <row r="165" spans="2:24" x14ac:dyDescent="0.25">
      <c r="B165" s="100">
        <v>22</v>
      </c>
      <c r="C165" s="106" t="s">
        <v>208</v>
      </c>
      <c r="D165" s="9" t="s">
        <v>24</v>
      </c>
      <c r="E165" s="29">
        <v>110</v>
      </c>
      <c r="F165" s="10" t="s">
        <v>209</v>
      </c>
      <c r="G165" s="10">
        <f>4*0</f>
        <v>0</v>
      </c>
      <c r="H165" s="18">
        <f>4*2</f>
        <v>8</v>
      </c>
      <c r="I165" s="10">
        <f>4*12</f>
        <v>48</v>
      </c>
      <c r="J165" s="10">
        <f>4*10</f>
        <v>40</v>
      </c>
      <c r="K165" s="2">
        <f>4*3</f>
        <v>12</v>
      </c>
      <c r="L165">
        <f>4*12</f>
        <v>48</v>
      </c>
      <c r="M165">
        <f>4*6</f>
        <v>24</v>
      </c>
      <c r="N165">
        <f>4*12</f>
        <v>48</v>
      </c>
      <c r="O165">
        <f>4*7</f>
        <v>28</v>
      </c>
      <c r="P165" s="2">
        <f>4*4</f>
        <v>16</v>
      </c>
      <c r="Q165">
        <f>4*5</f>
        <v>20</v>
      </c>
      <c r="R165">
        <f>4*3</f>
        <v>12</v>
      </c>
      <c r="S165">
        <f>4*6</f>
        <v>24</v>
      </c>
      <c r="T165" s="5">
        <f>4*2</f>
        <v>8</v>
      </c>
      <c r="U165" s="5">
        <f>4*10</f>
        <v>40</v>
      </c>
      <c r="V165" s="10">
        <f>4*1</f>
        <v>4</v>
      </c>
      <c r="W165" s="11">
        <f>SUM(Table1[[#This Row],[7:00-8:00]:[22:00-23:00]])</f>
        <v>380</v>
      </c>
    </row>
    <row r="166" spans="2:24" x14ac:dyDescent="0.25">
      <c r="B166" s="101"/>
      <c r="C166" s="107"/>
      <c r="D166" s="5" t="s">
        <v>26</v>
      </c>
      <c r="E166" s="29">
        <v>111</v>
      </c>
      <c r="F166" s="56" t="s">
        <v>210</v>
      </c>
      <c r="G166" s="2">
        <f>4*3</f>
        <v>12</v>
      </c>
      <c r="H166" s="15">
        <f>4*8</f>
        <v>32</v>
      </c>
      <c r="I166" s="2">
        <f>4*6</f>
        <v>24</v>
      </c>
      <c r="J166" s="2">
        <f>4*6</f>
        <v>24</v>
      </c>
      <c r="K166" s="2">
        <f>4*4</f>
        <v>16</v>
      </c>
      <c r="L166">
        <f>4*8</f>
        <v>32</v>
      </c>
      <c r="M166">
        <f>4*10</f>
        <v>40</v>
      </c>
      <c r="N166">
        <f>4*5</f>
        <v>20</v>
      </c>
      <c r="O166">
        <f>4*2</f>
        <v>8</v>
      </c>
      <c r="P166">
        <f>4*7</f>
        <v>28</v>
      </c>
      <c r="Q166">
        <f>4*4</f>
        <v>16</v>
      </c>
      <c r="R166">
        <f>4*4</f>
        <v>16</v>
      </c>
      <c r="S166">
        <f>4*13</f>
        <v>52</v>
      </c>
      <c r="T166" s="5">
        <f>4*3</f>
        <v>12</v>
      </c>
      <c r="U166" s="5">
        <f>4*9</f>
        <v>36</v>
      </c>
      <c r="V166" s="2">
        <f>4*0</f>
        <v>0</v>
      </c>
      <c r="W166" s="6">
        <f>SUM(Table1[[#This Row],[7:00-8:00]:[22:00-23:00]])</f>
        <v>368</v>
      </c>
    </row>
    <row r="167" spans="2:24" x14ac:dyDescent="0.25">
      <c r="B167" s="101"/>
      <c r="C167" s="107"/>
      <c r="D167" s="5" t="s">
        <v>28</v>
      </c>
      <c r="E167" s="29">
        <v>112</v>
      </c>
      <c r="F167" s="5" t="s">
        <v>211</v>
      </c>
      <c r="G167" s="2">
        <f>4*5</f>
        <v>20</v>
      </c>
      <c r="H167" s="15">
        <f>4*12</f>
        <v>48</v>
      </c>
      <c r="I167" s="2">
        <f>4*7</f>
        <v>28</v>
      </c>
      <c r="J167" s="2">
        <f>4*4</f>
        <v>16</v>
      </c>
      <c r="K167" s="2">
        <f>4*51</f>
        <v>204</v>
      </c>
      <c r="L167">
        <f>4*56</f>
        <v>224</v>
      </c>
      <c r="M167">
        <f>4*25</f>
        <v>100</v>
      </c>
      <c r="N167">
        <f>4*31</f>
        <v>124</v>
      </c>
      <c r="O167">
        <f>4*19</f>
        <v>76</v>
      </c>
      <c r="P167">
        <f>4*37</f>
        <v>148</v>
      </c>
      <c r="Q167">
        <f>4*30</f>
        <v>120</v>
      </c>
      <c r="R167">
        <f>4*22</f>
        <v>88</v>
      </c>
      <c r="S167">
        <f>4*21</f>
        <v>84</v>
      </c>
      <c r="T167" s="5">
        <f>4*10</f>
        <v>40</v>
      </c>
      <c r="U167" s="5">
        <f>4*23</f>
        <v>92</v>
      </c>
      <c r="V167" s="2">
        <f>4*4</f>
        <v>16</v>
      </c>
      <c r="W167" s="6">
        <f>SUM(Table1[[#This Row],[7:00-8:00]:[22:00-23:00]])</f>
        <v>1428</v>
      </c>
    </row>
    <row r="168" spans="2:24" x14ac:dyDescent="0.25">
      <c r="B168" s="101"/>
      <c r="C168" s="107"/>
      <c r="D168" s="5" t="s">
        <v>30</v>
      </c>
      <c r="E168" s="29">
        <v>113</v>
      </c>
      <c r="F168" s="56" t="s">
        <v>212</v>
      </c>
      <c r="G168" s="2">
        <f>4*0</f>
        <v>0</v>
      </c>
      <c r="H168" s="15">
        <f>4*18</f>
        <v>72</v>
      </c>
      <c r="I168" s="2">
        <f>4*10</f>
        <v>40</v>
      </c>
      <c r="J168" s="2">
        <f>4*13</f>
        <v>52</v>
      </c>
      <c r="K168" s="2">
        <f>4*103</f>
        <v>412</v>
      </c>
      <c r="L168">
        <f>4*112</f>
        <v>448</v>
      </c>
      <c r="M168">
        <f>4*43</f>
        <v>172</v>
      </c>
      <c r="N168">
        <f>4*31</f>
        <v>124</v>
      </c>
      <c r="O168">
        <f>4*33</f>
        <v>132</v>
      </c>
      <c r="P168">
        <f>4*18</f>
        <v>72</v>
      </c>
      <c r="Q168">
        <f>4*19</f>
        <v>76</v>
      </c>
      <c r="R168">
        <f>4*13</f>
        <v>52</v>
      </c>
      <c r="S168">
        <f>4*39</f>
        <v>156</v>
      </c>
      <c r="T168" s="5">
        <f>4*7</f>
        <v>28</v>
      </c>
      <c r="U168" s="5">
        <f>4*28</f>
        <v>112</v>
      </c>
      <c r="V168" s="2">
        <f>4*6</f>
        <v>24</v>
      </c>
      <c r="W168" s="6">
        <f>SUM(Table1[[#This Row],[7:00-8:00]:[22:00-23:00]])</f>
        <v>1972</v>
      </c>
    </row>
    <row r="169" spans="2:24" x14ac:dyDescent="0.25">
      <c r="B169" s="101"/>
      <c r="C169" s="107"/>
      <c r="D169" s="5" t="s">
        <v>32</v>
      </c>
      <c r="E169" s="29">
        <v>114</v>
      </c>
      <c r="F169" s="5" t="s">
        <v>213</v>
      </c>
      <c r="G169" s="2">
        <f>4*5</f>
        <v>20</v>
      </c>
      <c r="H169" s="15">
        <f>4*20</f>
        <v>80</v>
      </c>
      <c r="I169" s="15">
        <f>4*42</f>
        <v>168</v>
      </c>
      <c r="J169" s="2">
        <f>4*46</f>
        <v>184</v>
      </c>
      <c r="K169" s="2">
        <f>4*91</f>
        <v>364</v>
      </c>
      <c r="L169">
        <f>4*106</f>
        <v>424</v>
      </c>
      <c r="M169">
        <f>4*67</f>
        <v>268</v>
      </c>
      <c r="N169">
        <f>4*97</f>
        <v>388</v>
      </c>
      <c r="O169">
        <f>4*63</f>
        <v>252</v>
      </c>
      <c r="P169">
        <f>4*54</f>
        <v>216</v>
      </c>
      <c r="Q169">
        <f>4*41</f>
        <v>164</v>
      </c>
      <c r="R169">
        <f>4*32</f>
        <v>128</v>
      </c>
      <c r="S169">
        <f>4*52</f>
        <v>208</v>
      </c>
      <c r="T169" s="5">
        <f>4*58</f>
        <v>232</v>
      </c>
      <c r="U169" s="33">
        <f>4*62</f>
        <v>248</v>
      </c>
      <c r="V169" s="2">
        <f>4*16</f>
        <v>64</v>
      </c>
      <c r="W169" s="6">
        <f>SUM(Table1[[#This Row],[7:00-8:00]:[22:00-23:00]])</f>
        <v>3408</v>
      </c>
    </row>
    <row r="170" spans="2:24" x14ac:dyDescent="0.25">
      <c r="B170" s="101"/>
      <c r="C170" s="107"/>
      <c r="D170" s="5" t="s">
        <v>34</v>
      </c>
      <c r="E170" s="29">
        <v>115</v>
      </c>
      <c r="F170" s="56" t="s">
        <v>214</v>
      </c>
      <c r="G170" s="2">
        <f>4*3</f>
        <v>12</v>
      </c>
      <c r="H170" s="15">
        <f>4*16</f>
        <v>64</v>
      </c>
      <c r="I170" s="15">
        <f>4*51</f>
        <v>204</v>
      </c>
      <c r="J170" s="2">
        <f>4*72</f>
        <v>288</v>
      </c>
      <c r="K170" s="2">
        <f>4*135</f>
        <v>540</v>
      </c>
      <c r="L170">
        <f>4*142</f>
        <v>568</v>
      </c>
      <c r="M170">
        <f>4*63</f>
        <v>252</v>
      </c>
      <c r="N170">
        <f>4*148</f>
        <v>592</v>
      </c>
      <c r="O170">
        <f>4*120</f>
        <v>480</v>
      </c>
      <c r="P170">
        <f>4*84</f>
        <v>336</v>
      </c>
      <c r="Q170">
        <f>4*68</f>
        <v>272</v>
      </c>
      <c r="R170">
        <f>4*66</f>
        <v>264</v>
      </c>
      <c r="S170">
        <f>4*73</f>
        <v>292</v>
      </c>
      <c r="T170" s="5">
        <f>4*82</f>
        <v>328</v>
      </c>
      <c r="U170" s="33">
        <f>4*86</f>
        <v>344</v>
      </c>
      <c r="V170" s="2">
        <f>4*12</f>
        <v>48</v>
      </c>
      <c r="W170" s="6">
        <f>SUM(Table1[[#This Row],[7:00-8:00]:[22:00-23:00]])</f>
        <v>4884</v>
      </c>
    </row>
    <row r="171" spans="2:24" x14ac:dyDescent="0.25">
      <c r="B171" s="101"/>
      <c r="C171" s="107"/>
      <c r="D171" s="5"/>
      <c r="E171" s="29"/>
      <c r="F171" s="49" t="s">
        <v>215</v>
      </c>
      <c r="G171" s="23">
        <f>G166+G168</f>
        <v>12</v>
      </c>
      <c r="H171" s="23">
        <f t="shared" ref="H171:V171" si="51">H166+H168</f>
        <v>104</v>
      </c>
      <c r="I171" s="23">
        <f t="shared" si="51"/>
        <v>64</v>
      </c>
      <c r="J171" s="23">
        <f t="shared" si="51"/>
        <v>76</v>
      </c>
      <c r="K171" s="23">
        <f t="shared" si="51"/>
        <v>428</v>
      </c>
      <c r="L171" s="23">
        <f t="shared" si="51"/>
        <v>480</v>
      </c>
      <c r="M171" s="23">
        <f t="shared" si="51"/>
        <v>212</v>
      </c>
      <c r="N171" s="23">
        <f t="shared" si="51"/>
        <v>144</v>
      </c>
      <c r="O171" s="23">
        <f t="shared" si="51"/>
        <v>140</v>
      </c>
      <c r="P171" s="23">
        <f t="shared" si="51"/>
        <v>100</v>
      </c>
      <c r="Q171" s="23">
        <f t="shared" si="51"/>
        <v>92</v>
      </c>
      <c r="R171" s="23">
        <f t="shared" si="51"/>
        <v>68</v>
      </c>
      <c r="S171" s="23">
        <f t="shared" si="51"/>
        <v>208</v>
      </c>
      <c r="T171" s="23">
        <f t="shared" si="51"/>
        <v>40</v>
      </c>
      <c r="U171" s="23">
        <f t="shared" si="51"/>
        <v>148</v>
      </c>
      <c r="V171" s="23">
        <f t="shared" si="51"/>
        <v>24</v>
      </c>
      <c r="W171" s="6">
        <f>SUM(Table1[[#This Row],[7:00-8:00]:[22:00-23:00]])</f>
        <v>2340</v>
      </c>
    </row>
    <row r="172" spans="2:24" x14ac:dyDescent="0.25">
      <c r="B172" s="101"/>
      <c r="C172" s="107"/>
      <c r="D172" s="5"/>
      <c r="E172" s="29"/>
      <c r="F172" s="57" t="s">
        <v>216</v>
      </c>
      <c r="G172" s="23">
        <f>G165+G170</f>
        <v>12</v>
      </c>
      <c r="H172" s="23">
        <f t="shared" ref="H172:V172" si="52">H165+H170</f>
        <v>72</v>
      </c>
      <c r="I172" s="23">
        <f t="shared" si="52"/>
        <v>252</v>
      </c>
      <c r="J172" s="23">
        <f t="shared" si="52"/>
        <v>328</v>
      </c>
      <c r="K172" s="23">
        <f t="shared" si="52"/>
        <v>552</v>
      </c>
      <c r="L172" s="23">
        <f t="shared" si="52"/>
        <v>616</v>
      </c>
      <c r="M172" s="23">
        <f t="shared" si="52"/>
        <v>276</v>
      </c>
      <c r="N172" s="23">
        <f t="shared" si="52"/>
        <v>640</v>
      </c>
      <c r="O172" s="23">
        <f t="shared" si="52"/>
        <v>508</v>
      </c>
      <c r="P172" s="23">
        <f t="shared" si="52"/>
        <v>352</v>
      </c>
      <c r="Q172" s="23">
        <f t="shared" si="52"/>
        <v>292</v>
      </c>
      <c r="R172" s="23">
        <f t="shared" si="52"/>
        <v>276</v>
      </c>
      <c r="S172" s="23">
        <f t="shared" si="52"/>
        <v>316</v>
      </c>
      <c r="T172" s="23">
        <f t="shared" si="52"/>
        <v>336</v>
      </c>
      <c r="U172" s="23">
        <f t="shared" si="52"/>
        <v>384</v>
      </c>
      <c r="V172" s="23">
        <f t="shared" si="52"/>
        <v>52</v>
      </c>
      <c r="W172" s="6">
        <f>SUM(Table1[[#This Row],[7:00-8:00]:[22:00-23:00]])</f>
        <v>5264</v>
      </c>
    </row>
    <row r="173" spans="2:24" x14ac:dyDescent="0.25">
      <c r="B173" s="105"/>
      <c r="C173" s="108"/>
      <c r="D173" s="25"/>
      <c r="E173" s="31"/>
      <c r="F173" s="58" t="s">
        <v>217</v>
      </c>
      <c r="G173" s="24">
        <f>G167+G169</f>
        <v>40</v>
      </c>
      <c r="H173" s="24">
        <f t="shared" ref="H173:V173" si="53">H167+H169</f>
        <v>128</v>
      </c>
      <c r="I173" s="24">
        <f t="shared" si="53"/>
        <v>196</v>
      </c>
      <c r="J173" s="24">
        <f t="shared" si="53"/>
        <v>200</v>
      </c>
      <c r="K173" s="24">
        <f t="shared" si="53"/>
        <v>568</v>
      </c>
      <c r="L173" s="24">
        <f t="shared" si="53"/>
        <v>648</v>
      </c>
      <c r="M173" s="24">
        <f t="shared" si="53"/>
        <v>368</v>
      </c>
      <c r="N173" s="24">
        <f t="shared" si="53"/>
        <v>512</v>
      </c>
      <c r="O173" s="24">
        <f t="shared" si="53"/>
        <v>328</v>
      </c>
      <c r="P173" s="24">
        <f t="shared" si="53"/>
        <v>364</v>
      </c>
      <c r="Q173" s="24">
        <f t="shared" si="53"/>
        <v>284</v>
      </c>
      <c r="R173" s="24">
        <f t="shared" si="53"/>
        <v>216</v>
      </c>
      <c r="S173" s="24">
        <f t="shared" si="53"/>
        <v>292</v>
      </c>
      <c r="T173" s="24">
        <f t="shared" si="53"/>
        <v>272</v>
      </c>
      <c r="U173" s="24">
        <f t="shared" si="53"/>
        <v>340</v>
      </c>
      <c r="V173" s="24">
        <f t="shared" si="53"/>
        <v>80</v>
      </c>
      <c r="W173" s="24">
        <f>SUM(Table1[[#This Row],[7:00-8:00]:[22:00-23:00]])</f>
        <v>4836</v>
      </c>
      <c r="X173" s="4"/>
    </row>
    <row r="174" spans="2:24" x14ac:dyDescent="0.25">
      <c r="B174" s="101">
        <v>23</v>
      </c>
      <c r="C174" s="107" t="s">
        <v>218</v>
      </c>
      <c r="D174" s="5" t="s">
        <v>24</v>
      </c>
      <c r="E174" s="29">
        <v>116</v>
      </c>
      <c r="F174" s="2" t="s">
        <v>219</v>
      </c>
      <c r="G174" s="2">
        <f>4*4</f>
        <v>16</v>
      </c>
      <c r="H174" s="15">
        <f>4*12</f>
        <v>48</v>
      </c>
      <c r="I174" s="2">
        <f>4*37</f>
        <v>148</v>
      </c>
      <c r="J174" s="2">
        <f>4*42</f>
        <v>168</v>
      </c>
      <c r="K174" s="2">
        <f>4*112</f>
        <v>448</v>
      </c>
      <c r="L174" s="5">
        <f>4*106</f>
        <v>424</v>
      </c>
      <c r="M174" s="5">
        <f>4*33</f>
        <v>132</v>
      </c>
      <c r="N174" s="36">
        <f>4*12</f>
        <v>48</v>
      </c>
      <c r="O174" s="36">
        <f>4*25</f>
        <v>100</v>
      </c>
      <c r="P174" s="5">
        <f>4*30</f>
        <v>120</v>
      </c>
      <c r="Q174">
        <f>4*26</f>
        <v>104</v>
      </c>
      <c r="R174" s="5">
        <f>4*24</f>
        <v>96</v>
      </c>
      <c r="S174" s="5">
        <f>4*38</f>
        <v>152</v>
      </c>
      <c r="T174" s="2">
        <f>4*18</f>
        <v>72</v>
      </c>
      <c r="U174" s="2">
        <f>4*26</f>
        <v>104</v>
      </c>
      <c r="V174" s="2">
        <f>4*13</f>
        <v>52</v>
      </c>
      <c r="W174" s="6">
        <f>SUM(Table1[[#This Row],[7:00-8:00]:[22:00-23:00]])</f>
        <v>2232</v>
      </c>
    </row>
    <row r="175" spans="2:24" x14ac:dyDescent="0.25">
      <c r="B175" s="101"/>
      <c r="C175" s="107"/>
      <c r="D175" s="5" t="s">
        <v>26</v>
      </c>
      <c r="E175" s="29">
        <v>117</v>
      </c>
      <c r="F175" s="56" t="s">
        <v>220</v>
      </c>
      <c r="G175" s="2">
        <f>4*9</f>
        <v>36</v>
      </c>
      <c r="H175" s="15">
        <f>4*14</f>
        <v>56</v>
      </c>
      <c r="I175" s="2">
        <f>4*24</f>
        <v>96</v>
      </c>
      <c r="J175" s="2">
        <f>4*28</f>
        <v>112</v>
      </c>
      <c r="K175" s="2">
        <f>4*73</f>
        <v>292</v>
      </c>
      <c r="L175" s="5">
        <f>4*87</f>
        <v>348</v>
      </c>
      <c r="M175" s="5">
        <f>4*7</f>
        <v>28</v>
      </c>
      <c r="N175" s="36">
        <f>4*21</f>
        <v>84</v>
      </c>
      <c r="O175" s="36">
        <f>4*19</f>
        <v>76</v>
      </c>
      <c r="P175" s="5">
        <f>4*24</f>
        <v>96</v>
      </c>
      <c r="Q175">
        <f>4*19</f>
        <v>76</v>
      </c>
      <c r="R175" s="5">
        <f>4*17</f>
        <v>68</v>
      </c>
      <c r="S175" s="5">
        <f>4*23</f>
        <v>92</v>
      </c>
      <c r="T175" s="2">
        <f>4*10</f>
        <v>40</v>
      </c>
      <c r="U175" s="2">
        <f>4*11</f>
        <v>44</v>
      </c>
      <c r="V175" s="2">
        <f>4*15</f>
        <v>60</v>
      </c>
      <c r="W175" s="6">
        <f>SUM(Table1[[#This Row],[7:00-8:00]:[22:00-23:00]])</f>
        <v>1604</v>
      </c>
    </row>
    <row r="176" spans="2:24" x14ac:dyDescent="0.25">
      <c r="B176" s="101"/>
      <c r="C176" s="107"/>
      <c r="D176" s="5" t="s">
        <v>28</v>
      </c>
      <c r="E176" s="29">
        <v>118</v>
      </c>
      <c r="F176" s="5" t="s">
        <v>221</v>
      </c>
      <c r="G176" s="2">
        <f>4*3</f>
        <v>12</v>
      </c>
      <c r="H176" s="15">
        <f>4*29</f>
        <v>116</v>
      </c>
      <c r="I176" s="2">
        <f>4*105</f>
        <v>420</v>
      </c>
      <c r="J176" s="2">
        <f>4*127</f>
        <v>508</v>
      </c>
      <c r="K176" s="2">
        <f>4*85</f>
        <v>340</v>
      </c>
      <c r="L176" s="5">
        <f>4*82</f>
        <v>328</v>
      </c>
      <c r="M176" s="5">
        <f>4*102</f>
        <v>408</v>
      </c>
      <c r="N176" s="36">
        <f>4*57</f>
        <v>228</v>
      </c>
      <c r="O176" s="36">
        <f>4*76</f>
        <v>304</v>
      </c>
      <c r="P176" s="5">
        <f>4*51</f>
        <v>204</v>
      </c>
      <c r="Q176">
        <f>4*43</f>
        <v>172</v>
      </c>
      <c r="R176" s="5">
        <f>4*39</f>
        <v>156</v>
      </c>
      <c r="S176" s="5">
        <f>4*51</f>
        <v>204</v>
      </c>
      <c r="T176" s="2">
        <f>4*51</f>
        <v>204</v>
      </c>
      <c r="U176" s="2">
        <f>4*63</f>
        <v>252</v>
      </c>
      <c r="V176" s="2">
        <f>4*21</f>
        <v>84</v>
      </c>
      <c r="W176" s="6">
        <f>SUM(Table1[[#This Row],[7:00-8:00]:[22:00-23:00]])</f>
        <v>3940</v>
      </c>
    </row>
    <row r="177" spans="1:23" x14ac:dyDescent="0.25">
      <c r="B177" s="101"/>
      <c r="C177" s="107"/>
      <c r="D177" s="5" t="s">
        <v>30</v>
      </c>
      <c r="E177" s="29">
        <v>119</v>
      </c>
      <c r="F177" s="56" t="s">
        <v>222</v>
      </c>
      <c r="G177" s="2">
        <f>4*6</f>
        <v>24</v>
      </c>
      <c r="H177" s="15">
        <f>4*13</f>
        <v>52</v>
      </c>
      <c r="I177" s="2">
        <f>4*21</f>
        <v>84</v>
      </c>
      <c r="J177" s="2">
        <f>4*13</f>
        <v>52</v>
      </c>
      <c r="K177" s="2">
        <f>4*109</f>
        <v>436</v>
      </c>
      <c r="L177" s="5">
        <f>4*31</f>
        <v>124</v>
      </c>
      <c r="M177" s="5">
        <f>4*15</f>
        <v>60</v>
      </c>
      <c r="N177" s="36">
        <f>4*18</f>
        <v>72</v>
      </c>
      <c r="O177" s="36">
        <f>4*33</f>
        <v>132</v>
      </c>
      <c r="P177" s="5">
        <f>4*22</f>
        <v>88</v>
      </c>
      <c r="Q177">
        <f>4*20</f>
        <v>80</v>
      </c>
      <c r="R177" s="5">
        <f>4*17</f>
        <v>68</v>
      </c>
      <c r="S177" s="5">
        <f>4*28</f>
        <v>112</v>
      </c>
      <c r="T177" s="2">
        <f>4*39</f>
        <v>156</v>
      </c>
      <c r="U177" s="2">
        <f>4*39</f>
        <v>156</v>
      </c>
      <c r="V177" s="2">
        <f>4*14</f>
        <v>56</v>
      </c>
      <c r="W177" s="6">
        <f>SUM(Table1[[#This Row],[7:00-8:00]:[22:00-23:00]])</f>
        <v>1752</v>
      </c>
    </row>
    <row r="178" spans="1:23" x14ac:dyDescent="0.25">
      <c r="B178" s="101"/>
      <c r="C178" s="107"/>
      <c r="D178" s="5" t="s">
        <v>32</v>
      </c>
      <c r="E178" s="29">
        <v>120</v>
      </c>
      <c r="F178" s="5" t="s">
        <v>223</v>
      </c>
      <c r="G178" s="2">
        <f>4*18</f>
        <v>72</v>
      </c>
      <c r="H178" s="15">
        <f>4*33</f>
        <v>132</v>
      </c>
      <c r="I178" s="2">
        <f>4*49</f>
        <v>196</v>
      </c>
      <c r="J178" s="2">
        <f>4*57</f>
        <v>228</v>
      </c>
      <c r="K178" s="2">
        <f>4*93</f>
        <v>372</v>
      </c>
      <c r="L178" s="5">
        <f>4*102</f>
        <v>408</v>
      </c>
      <c r="M178" s="5">
        <f>4*109</f>
        <v>436</v>
      </c>
      <c r="N178" s="36">
        <f>4*168</f>
        <v>672</v>
      </c>
      <c r="O178" s="36">
        <f>4*129</f>
        <v>516</v>
      </c>
      <c r="P178" s="5">
        <f>4*169</f>
        <v>676</v>
      </c>
      <c r="Q178">
        <f>4*139</f>
        <v>556</v>
      </c>
      <c r="R178" s="5">
        <f>4*133</f>
        <v>532</v>
      </c>
      <c r="S178" s="5">
        <f>4*161</f>
        <v>644</v>
      </c>
      <c r="T178" s="2">
        <f>4*115</f>
        <v>460</v>
      </c>
      <c r="U178" s="2">
        <f>4*145</f>
        <v>580</v>
      </c>
      <c r="V178" s="2">
        <f>4*31</f>
        <v>124</v>
      </c>
      <c r="W178" s="6">
        <f>SUM(Table1[[#This Row],[7:00-8:00]:[22:00-23:00]])</f>
        <v>6604</v>
      </c>
    </row>
    <row r="179" spans="1:23" x14ac:dyDescent="0.25">
      <c r="B179" s="101"/>
      <c r="C179" s="107"/>
      <c r="D179" s="5" t="s">
        <v>34</v>
      </c>
      <c r="E179" s="29">
        <v>121</v>
      </c>
      <c r="F179" s="56" t="s">
        <v>224</v>
      </c>
      <c r="G179" s="2">
        <f>4*10</f>
        <v>40</v>
      </c>
      <c r="H179" s="15">
        <f>4*23</f>
        <v>92</v>
      </c>
      <c r="I179" s="2">
        <f>4*68</f>
        <v>272</v>
      </c>
      <c r="J179" s="2">
        <f>4*166</f>
        <v>664</v>
      </c>
      <c r="K179" s="2">
        <f>4*190</f>
        <v>760</v>
      </c>
      <c r="L179" s="5">
        <f>4*203</f>
        <v>812</v>
      </c>
      <c r="M179" s="5">
        <f>4*195</f>
        <v>780</v>
      </c>
      <c r="N179" s="36">
        <f>4*139</f>
        <v>556</v>
      </c>
      <c r="O179" s="36">
        <f>4*159</f>
        <v>636</v>
      </c>
      <c r="P179" s="5">
        <f>4*117</f>
        <v>468</v>
      </c>
      <c r="Q179">
        <f>4*112</f>
        <v>448</v>
      </c>
      <c r="R179" s="5">
        <f>4*106</f>
        <v>424</v>
      </c>
      <c r="S179" s="5">
        <f>4*140</f>
        <v>560</v>
      </c>
      <c r="T179" s="2">
        <f>4*162</f>
        <v>648</v>
      </c>
      <c r="U179" s="2">
        <f>4*166</f>
        <v>664</v>
      </c>
      <c r="V179" s="2">
        <f>4*35</f>
        <v>140</v>
      </c>
      <c r="W179" s="6">
        <f>SUM(Table1[[#This Row],[7:00-8:00]:[22:00-23:00]])</f>
        <v>7964</v>
      </c>
    </row>
    <row r="180" spans="1:23" x14ac:dyDescent="0.25">
      <c r="B180" s="101"/>
      <c r="C180" s="107"/>
      <c r="D180" s="5"/>
      <c r="E180" s="29"/>
      <c r="F180" s="49" t="s">
        <v>225</v>
      </c>
      <c r="G180" s="23">
        <f>G175+G177</f>
        <v>60</v>
      </c>
      <c r="H180" s="23">
        <f t="shared" ref="H180:V180" si="54">H175+H177</f>
        <v>108</v>
      </c>
      <c r="I180" s="23">
        <f t="shared" si="54"/>
        <v>180</v>
      </c>
      <c r="J180" s="23">
        <f t="shared" si="54"/>
        <v>164</v>
      </c>
      <c r="K180" s="23">
        <f t="shared" si="54"/>
        <v>728</v>
      </c>
      <c r="L180" s="23">
        <f t="shared" si="54"/>
        <v>472</v>
      </c>
      <c r="M180" s="23">
        <f t="shared" si="54"/>
        <v>88</v>
      </c>
      <c r="N180" s="23">
        <f t="shared" si="54"/>
        <v>156</v>
      </c>
      <c r="O180" s="23">
        <f t="shared" si="54"/>
        <v>208</v>
      </c>
      <c r="P180" s="23">
        <f t="shared" si="54"/>
        <v>184</v>
      </c>
      <c r="Q180" s="23">
        <f t="shared" si="54"/>
        <v>156</v>
      </c>
      <c r="R180" s="23">
        <f t="shared" si="54"/>
        <v>136</v>
      </c>
      <c r="S180" s="23">
        <f t="shared" si="54"/>
        <v>204</v>
      </c>
      <c r="T180" s="23">
        <f t="shared" si="54"/>
        <v>196</v>
      </c>
      <c r="U180" s="23">
        <f t="shared" si="54"/>
        <v>200</v>
      </c>
      <c r="V180" s="23">
        <f t="shared" si="54"/>
        <v>116</v>
      </c>
      <c r="W180" s="6">
        <f>SUM(Table1[[#This Row],[7:00-8:00]:[22:00-23:00]])</f>
        <v>3356</v>
      </c>
    </row>
    <row r="181" spans="1:23" x14ac:dyDescent="0.25">
      <c r="B181" s="101"/>
      <c r="C181" s="107"/>
      <c r="D181" s="5"/>
      <c r="E181" s="29"/>
      <c r="F181" s="57" t="s">
        <v>226</v>
      </c>
      <c r="G181" s="23">
        <f>G176+G178</f>
        <v>84</v>
      </c>
      <c r="H181" s="23">
        <f t="shared" ref="H181:V181" si="55">H176+H178</f>
        <v>248</v>
      </c>
      <c r="I181" s="23">
        <f t="shared" si="55"/>
        <v>616</v>
      </c>
      <c r="J181" s="23">
        <f t="shared" si="55"/>
        <v>736</v>
      </c>
      <c r="K181" s="23">
        <f t="shared" si="55"/>
        <v>712</v>
      </c>
      <c r="L181" s="23">
        <f t="shared" si="55"/>
        <v>736</v>
      </c>
      <c r="M181" s="23">
        <f t="shared" si="55"/>
        <v>844</v>
      </c>
      <c r="N181" s="23">
        <f t="shared" si="55"/>
        <v>900</v>
      </c>
      <c r="O181" s="23">
        <f t="shared" si="55"/>
        <v>820</v>
      </c>
      <c r="P181" s="23">
        <f t="shared" si="55"/>
        <v>880</v>
      </c>
      <c r="Q181" s="23">
        <f t="shared" si="55"/>
        <v>728</v>
      </c>
      <c r="R181" s="23">
        <f t="shared" si="55"/>
        <v>688</v>
      </c>
      <c r="S181" s="23">
        <f t="shared" si="55"/>
        <v>848</v>
      </c>
      <c r="T181" s="23">
        <f t="shared" si="55"/>
        <v>664</v>
      </c>
      <c r="U181" s="23">
        <f t="shared" si="55"/>
        <v>832</v>
      </c>
      <c r="V181" s="23">
        <f t="shared" si="55"/>
        <v>208</v>
      </c>
      <c r="W181" s="6">
        <f>SUM(Table1[[#This Row],[7:00-8:00]:[22:00-23:00]])</f>
        <v>10544</v>
      </c>
    </row>
    <row r="182" spans="1:23" x14ac:dyDescent="0.25">
      <c r="B182" s="105"/>
      <c r="C182" s="108"/>
      <c r="D182" s="8"/>
      <c r="E182" s="31"/>
      <c r="F182" s="51" t="s">
        <v>227</v>
      </c>
      <c r="G182" s="24">
        <f>G174+G179</f>
        <v>56</v>
      </c>
      <c r="H182" s="24">
        <f t="shared" ref="H182:V182" si="56">H174+H179</f>
        <v>140</v>
      </c>
      <c r="I182" s="24">
        <f t="shared" si="56"/>
        <v>420</v>
      </c>
      <c r="J182" s="24">
        <f t="shared" si="56"/>
        <v>832</v>
      </c>
      <c r="K182" s="24">
        <f t="shared" si="56"/>
        <v>1208</v>
      </c>
      <c r="L182" s="24">
        <f t="shared" si="56"/>
        <v>1236</v>
      </c>
      <c r="M182" s="24">
        <f t="shared" si="56"/>
        <v>912</v>
      </c>
      <c r="N182" s="24">
        <f t="shared" si="56"/>
        <v>604</v>
      </c>
      <c r="O182" s="24">
        <f t="shared" si="56"/>
        <v>736</v>
      </c>
      <c r="P182" s="24">
        <f t="shared" si="56"/>
        <v>588</v>
      </c>
      <c r="Q182" s="24">
        <f t="shared" si="56"/>
        <v>552</v>
      </c>
      <c r="R182" s="24">
        <f t="shared" si="56"/>
        <v>520</v>
      </c>
      <c r="S182" s="24">
        <f t="shared" si="56"/>
        <v>712</v>
      </c>
      <c r="T182" s="24">
        <f t="shared" si="56"/>
        <v>720</v>
      </c>
      <c r="U182" s="24">
        <f t="shared" si="56"/>
        <v>768</v>
      </c>
      <c r="V182" s="24">
        <f t="shared" si="56"/>
        <v>192</v>
      </c>
      <c r="W182" s="7">
        <f>SUM(Table1[[#This Row],[7:00-8:00]:[22:00-23:00]])</f>
        <v>10196</v>
      </c>
    </row>
    <row r="183" spans="1:23" s="36" customFormat="1" x14ac:dyDescent="0.25">
      <c r="A183" s="91"/>
      <c r="B183" s="114">
        <v>24</v>
      </c>
      <c r="C183" s="121" t="s">
        <v>228</v>
      </c>
      <c r="D183" s="9" t="s">
        <v>24</v>
      </c>
      <c r="E183" s="29">
        <v>122</v>
      </c>
      <c r="F183" s="9" t="s">
        <v>229</v>
      </c>
      <c r="G183" s="9">
        <f>4*17</f>
        <v>68</v>
      </c>
      <c r="H183" s="89">
        <f>4*52</f>
        <v>208</v>
      </c>
      <c r="I183" s="36">
        <f>4*187</f>
        <v>748</v>
      </c>
      <c r="J183" s="36">
        <f>4*267</f>
        <v>1068</v>
      </c>
      <c r="K183" s="36">
        <f>4*587</f>
        <v>2348</v>
      </c>
      <c r="L183" s="36">
        <f>4*603</f>
        <v>2412</v>
      </c>
      <c r="M183" s="36">
        <f>4*351</f>
        <v>1404</v>
      </c>
      <c r="N183" s="36">
        <f>4*369</f>
        <v>1476</v>
      </c>
      <c r="O183" s="36">
        <f>4*415</f>
        <v>1660</v>
      </c>
      <c r="P183" s="36">
        <f>4*402</f>
        <v>1608</v>
      </c>
      <c r="Q183" s="36">
        <f>4*224</f>
        <v>896</v>
      </c>
      <c r="R183" s="36">
        <f>4*171</f>
        <v>684</v>
      </c>
      <c r="S183" s="36">
        <f>4*237</f>
        <v>948</v>
      </c>
      <c r="T183" s="36">
        <f>4*259</f>
        <v>1036</v>
      </c>
      <c r="U183" s="36">
        <f>4*240</f>
        <v>960</v>
      </c>
      <c r="V183" s="9">
        <f>4*78</f>
        <v>312</v>
      </c>
      <c r="W183" s="67">
        <f>SUM(Table1[[#This Row],[7:00-8:00]:[22:00-23:00]])</f>
        <v>17836</v>
      </c>
    </row>
    <row r="184" spans="1:23" s="36" customFormat="1" x14ac:dyDescent="0.25">
      <c r="A184" s="91"/>
      <c r="B184" s="115"/>
      <c r="C184" s="122"/>
      <c r="D184" s="5" t="s">
        <v>26</v>
      </c>
      <c r="E184" s="29">
        <v>123</v>
      </c>
      <c r="F184" s="5" t="s">
        <v>230</v>
      </c>
      <c r="G184" s="5">
        <f>4*16</f>
        <v>64</v>
      </c>
      <c r="H184" s="89">
        <f>4*91</f>
        <v>364</v>
      </c>
      <c r="I184" s="36">
        <f>4*301</f>
        <v>1204</v>
      </c>
      <c r="J184" s="36">
        <f>4*387</f>
        <v>1548</v>
      </c>
      <c r="K184" s="36">
        <f>4*524</f>
        <v>2096</v>
      </c>
      <c r="L184" s="36">
        <f>4*557</f>
        <v>2228</v>
      </c>
      <c r="M184" s="36">
        <f>4*341</f>
        <v>1364</v>
      </c>
      <c r="N184" s="36">
        <f>4*389</f>
        <v>1556</v>
      </c>
      <c r="O184" s="36">
        <f>4*476</f>
        <v>1904</v>
      </c>
      <c r="P184" s="36">
        <f>4*502</f>
        <v>2008</v>
      </c>
      <c r="Q184" s="36">
        <f>4*187</f>
        <v>748</v>
      </c>
      <c r="R184" s="36">
        <f>4*222</f>
        <v>888</v>
      </c>
      <c r="S184" s="36">
        <f>4*306</f>
        <v>1224</v>
      </c>
      <c r="T184" s="36">
        <f>4*234</f>
        <v>936</v>
      </c>
      <c r="U184" s="36">
        <f>4*197</f>
        <v>788</v>
      </c>
      <c r="V184" s="5">
        <f>4*121</f>
        <v>484</v>
      </c>
      <c r="W184" s="68">
        <f>SUM(Table1[[#This Row],[7:00-8:00]:[22:00-23:00]])</f>
        <v>19404</v>
      </c>
    </row>
    <row r="185" spans="1:23" s="36" customFormat="1" x14ac:dyDescent="0.25">
      <c r="A185" s="35"/>
      <c r="B185" s="114">
        <v>25</v>
      </c>
      <c r="C185" s="117" t="s">
        <v>231</v>
      </c>
      <c r="D185" s="20" t="s">
        <v>24</v>
      </c>
      <c r="E185" s="32">
        <v>123</v>
      </c>
      <c r="F185" s="9" t="s">
        <v>232</v>
      </c>
      <c r="G185" s="9">
        <f>4*4</f>
        <v>16</v>
      </c>
      <c r="H185" s="66">
        <f>4*22</f>
        <v>88</v>
      </c>
      <c r="I185" s="9">
        <f>4*162</f>
        <v>648</v>
      </c>
      <c r="J185" s="9">
        <f>4*231</f>
        <v>924</v>
      </c>
      <c r="K185" s="9">
        <f>4*298</f>
        <v>1192</v>
      </c>
      <c r="L185" s="9">
        <f>4*301</f>
        <v>1204</v>
      </c>
      <c r="M185" s="9">
        <f>4*251</f>
        <v>1004</v>
      </c>
      <c r="N185" s="9">
        <f>4*287</f>
        <v>1148</v>
      </c>
      <c r="O185" s="9">
        <f>4*328</f>
        <v>1312</v>
      </c>
      <c r="P185" s="9">
        <f>4*349</f>
        <v>1396</v>
      </c>
      <c r="Q185" s="9">
        <f>4*551</f>
        <v>2204</v>
      </c>
      <c r="R185" s="9">
        <f>4*325</f>
        <v>1300</v>
      </c>
      <c r="S185" s="9">
        <f>4*521</f>
        <v>2084</v>
      </c>
      <c r="T185" s="9">
        <f>4*387</f>
        <v>1548</v>
      </c>
      <c r="U185" s="9">
        <f>4*79</f>
        <v>316</v>
      </c>
      <c r="V185" s="9">
        <f>4*29</f>
        <v>116</v>
      </c>
      <c r="W185" s="67">
        <f>SUM(Table1[[#This Row],[7:00-8:00]:[22:00-23:00]])</f>
        <v>16500</v>
      </c>
    </row>
    <row r="186" spans="1:23" s="36" customFormat="1" x14ac:dyDescent="0.25">
      <c r="A186" s="35"/>
      <c r="B186" s="115"/>
      <c r="C186" s="94"/>
      <c r="D186" s="25" t="s">
        <v>26</v>
      </c>
      <c r="E186" s="31">
        <v>124</v>
      </c>
      <c r="F186" s="5" t="s">
        <v>233</v>
      </c>
      <c r="G186" s="8">
        <f>4*8</f>
        <v>32</v>
      </c>
      <c r="H186" s="75">
        <f>4*34</f>
        <v>136</v>
      </c>
      <c r="I186" s="73">
        <f>4*256</f>
        <v>1024</v>
      </c>
      <c r="J186" s="73">
        <f>4*286</f>
        <v>1144</v>
      </c>
      <c r="K186" s="73">
        <f>4*355</f>
        <v>1420</v>
      </c>
      <c r="L186" s="73">
        <f>4*389</f>
        <v>1556</v>
      </c>
      <c r="M186" s="73">
        <f>4*336</f>
        <v>1344</v>
      </c>
      <c r="N186" s="73">
        <f>4*351</f>
        <v>1404</v>
      </c>
      <c r="O186" s="73">
        <f>4*389</f>
        <v>1556</v>
      </c>
      <c r="P186" s="73">
        <f>4*402</f>
        <v>1608</v>
      </c>
      <c r="Q186" s="73">
        <f>4*361</f>
        <v>1444</v>
      </c>
      <c r="R186" s="73">
        <f>4*352</f>
        <v>1408</v>
      </c>
      <c r="S186" s="73">
        <f>4*261</f>
        <v>1044</v>
      </c>
      <c r="T186" s="73">
        <f>4*249</f>
        <v>996</v>
      </c>
      <c r="U186" s="73">
        <f>4*106</f>
        <v>424</v>
      </c>
      <c r="V186" s="73">
        <f>4*49</f>
        <v>196</v>
      </c>
      <c r="W186" s="72">
        <f>SUM(Table1[[#This Row],[7:00-8:00]:[22:00-23:00]])</f>
        <v>16736</v>
      </c>
    </row>
    <row r="187" spans="1:23" s="36" customFormat="1" x14ac:dyDescent="0.25">
      <c r="A187" s="35"/>
      <c r="B187" s="114">
        <v>26</v>
      </c>
      <c r="C187" s="117" t="s">
        <v>234</v>
      </c>
      <c r="D187" s="5" t="s">
        <v>24</v>
      </c>
      <c r="E187" s="29">
        <v>125</v>
      </c>
      <c r="F187" s="88" t="s">
        <v>235</v>
      </c>
      <c r="G187" s="5">
        <f>4*9</f>
        <v>36</v>
      </c>
      <c r="H187" s="89">
        <f>4*37</f>
        <v>148</v>
      </c>
      <c r="I187" s="36">
        <f>4*105</f>
        <v>420</v>
      </c>
      <c r="J187" s="36">
        <f>4*168</f>
        <v>672</v>
      </c>
      <c r="K187" s="36">
        <f>4*197</f>
        <v>788</v>
      </c>
      <c r="L187" s="36">
        <f>4*157</f>
        <v>628</v>
      </c>
      <c r="M187" s="36">
        <f>4*261</f>
        <v>1044</v>
      </c>
      <c r="N187" s="36">
        <f>4*289</f>
        <v>1156</v>
      </c>
      <c r="O187" s="36">
        <f>4*187</f>
        <v>748</v>
      </c>
      <c r="P187" s="36">
        <f>4*102</f>
        <v>408</v>
      </c>
      <c r="Q187" s="36">
        <f>4*171</f>
        <v>684</v>
      </c>
      <c r="R187" s="36">
        <f>4*125</f>
        <v>500</v>
      </c>
      <c r="S187" s="36">
        <f>4*241</f>
        <v>964</v>
      </c>
      <c r="T187" s="36">
        <f>4*231</f>
        <v>924</v>
      </c>
      <c r="U187" s="36">
        <f>4*198</f>
        <v>792</v>
      </c>
      <c r="V187" s="5">
        <f>4*167</f>
        <v>668</v>
      </c>
      <c r="W187" s="68">
        <f>SUM(Table1[[#This Row],[7:00-8:00]:[22:00-23:00]])</f>
        <v>10580</v>
      </c>
    </row>
    <row r="188" spans="1:23" s="36" customFormat="1" x14ac:dyDescent="0.25">
      <c r="A188" s="35"/>
      <c r="B188" s="116"/>
      <c r="C188" s="118"/>
      <c r="D188" s="25" t="s">
        <v>26</v>
      </c>
      <c r="E188" s="31">
        <v>126</v>
      </c>
      <c r="F188" s="90" t="s">
        <v>236</v>
      </c>
      <c r="G188" s="8">
        <f>4*15</f>
        <v>60</v>
      </c>
      <c r="H188" s="89">
        <f>4*65</f>
        <v>260</v>
      </c>
      <c r="I188" s="36">
        <f>4*157</f>
        <v>628</v>
      </c>
      <c r="J188" s="36">
        <f>4*187</f>
        <v>748</v>
      </c>
      <c r="K188" s="36">
        <f>4*212</f>
        <v>848</v>
      </c>
      <c r="L188" s="36">
        <f>4*201</f>
        <v>804</v>
      </c>
      <c r="M188" s="36">
        <f>4*179</f>
        <v>716</v>
      </c>
      <c r="N188" s="36">
        <f>4*199</f>
        <v>796</v>
      </c>
      <c r="O188" s="36">
        <f>4*182</f>
        <v>728</v>
      </c>
      <c r="P188" s="36">
        <f>4*187</f>
        <v>748</v>
      </c>
      <c r="Q188" s="36">
        <f>4*168</f>
        <v>672</v>
      </c>
      <c r="R188" s="36">
        <f>4*151</f>
        <v>604</v>
      </c>
      <c r="S188" s="36">
        <f>4*197</f>
        <v>788</v>
      </c>
      <c r="T188" s="36">
        <f>4*204</f>
        <v>816</v>
      </c>
      <c r="U188" s="36">
        <f>4*302</f>
        <v>1208</v>
      </c>
      <c r="V188" s="5">
        <f>4*246</f>
        <v>984</v>
      </c>
      <c r="W188" s="72">
        <f>SUM(Table1[[#This Row],[7:00-8:00]:[22:00-23:00]])</f>
        <v>11408</v>
      </c>
    </row>
    <row r="189" spans="1:23" x14ac:dyDescent="0.25">
      <c r="A189" s="35"/>
      <c r="B189" s="100">
        <v>27</v>
      </c>
      <c r="C189" s="102" t="s">
        <v>237</v>
      </c>
      <c r="D189" s="20" t="s">
        <v>24</v>
      </c>
      <c r="E189" s="32">
        <v>127</v>
      </c>
      <c r="F189" s="10" t="s">
        <v>238</v>
      </c>
      <c r="G189" s="2">
        <f>4*5</f>
        <v>20</v>
      </c>
      <c r="H189" s="18">
        <f>4*11</f>
        <v>44</v>
      </c>
      <c r="I189" s="10">
        <f>4*22</f>
        <v>88</v>
      </c>
      <c r="J189" s="10">
        <f>4*6</f>
        <v>24</v>
      </c>
      <c r="K189" s="10">
        <f>4*22</f>
        <v>88</v>
      </c>
      <c r="L189" s="10">
        <f>4*21</f>
        <v>84</v>
      </c>
      <c r="M189" s="10">
        <f>4*22</f>
        <v>88</v>
      </c>
      <c r="N189" s="10">
        <f>4*56</f>
        <v>224</v>
      </c>
      <c r="O189" s="10">
        <f>4*21</f>
        <v>84</v>
      </c>
      <c r="P189" s="10">
        <f>4*12</f>
        <v>48</v>
      </c>
      <c r="Q189" s="10">
        <f>4*13</f>
        <v>52</v>
      </c>
      <c r="R189" s="10">
        <f>4*6</f>
        <v>24</v>
      </c>
      <c r="S189" s="10">
        <f>4*18</f>
        <v>72</v>
      </c>
      <c r="T189" s="10">
        <f>4*21</f>
        <v>84</v>
      </c>
      <c r="U189" s="10">
        <f>4*6</f>
        <v>24</v>
      </c>
      <c r="V189" s="10">
        <f>4*2</f>
        <v>8</v>
      </c>
      <c r="W189" s="11">
        <f>SUM(Table1[[#This Row],[7:00-8:00]:[22:00-23:00]])</f>
        <v>1056</v>
      </c>
    </row>
    <row r="190" spans="1:23" x14ac:dyDescent="0.25">
      <c r="A190" s="35"/>
      <c r="B190" s="101"/>
      <c r="C190" s="92"/>
      <c r="D190" s="21" t="s">
        <v>26</v>
      </c>
      <c r="E190" s="29">
        <v>128</v>
      </c>
      <c r="F190" s="5" t="s">
        <v>239</v>
      </c>
      <c r="G190" s="2">
        <f>4*3</f>
        <v>12</v>
      </c>
      <c r="H190" s="15">
        <f>4*8</f>
        <v>32</v>
      </c>
      <c r="I190" s="2">
        <f>4*11</f>
        <v>44</v>
      </c>
      <c r="J190" s="2">
        <f>4*8</f>
        <v>32</v>
      </c>
      <c r="K190" s="2">
        <f>4*19</f>
        <v>76</v>
      </c>
      <c r="L190" s="2">
        <f>4*9</f>
        <v>36</v>
      </c>
      <c r="M190" s="2">
        <f>4*19</f>
        <v>76</v>
      </c>
      <c r="N190" s="2">
        <f>4*34</f>
        <v>136</v>
      </c>
      <c r="O190" s="2">
        <f>4*18</f>
        <v>72</v>
      </c>
      <c r="P190" s="2">
        <f>4*29</f>
        <v>116</v>
      </c>
      <c r="Q190" s="2">
        <f>4*6</f>
        <v>24</v>
      </c>
      <c r="R190" s="2">
        <f>4*9</f>
        <v>36</v>
      </c>
      <c r="S190" s="2">
        <f>4*26</f>
        <v>104</v>
      </c>
      <c r="T190" s="2">
        <f>4*12</f>
        <v>48</v>
      </c>
      <c r="U190" s="2">
        <f>4*7</f>
        <v>28</v>
      </c>
      <c r="V190" s="2">
        <f>4*7</f>
        <v>28</v>
      </c>
      <c r="W190" s="6">
        <f>SUM(Table1[[#This Row],[7:00-8:00]:[22:00-23:00]])</f>
        <v>900</v>
      </c>
    </row>
    <row r="191" spans="1:23" x14ac:dyDescent="0.25">
      <c r="A191" s="35"/>
      <c r="B191" s="101"/>
      <c r="C191" s="92"/>
      <c r="D191" s="21" t="s">
        <v>54</v>
      </c>
      <c r="E191" s="29">
        <v>129</v>
      </c>
      <c r="F191" s="5" t="s">
        <v>240</v>
      </c>
      <c r="G191" s="2">
        <f>4*34</f>
        <v>136</v>
      </c>
      <c r="H191" s="15">
        <f>4*138</f>
        <v>552</v>
      </c>
      <c r="I191" s="2">
        <f>4*201</f>
        <v>804</v>
      </c>
      <c r="J191" s="2">
        <f>4*297</f>
        <v>1188</v>
      </c>
      <c r="K191" s="2">
        <f>4*424</f>
        <v>1696</v>
      </c>
      <c r="L191" s="2">
        <f>4*548</f>
        <v>2192</v>
      </c>
      <c r="M191" s="2">
        <f>4*587</f>
        <v>2348</v>
      </c>
      <c r="N191" s="2">
        <f>4*497</f>
        <v>1988</v>
      </c>
      <c r="O191" s="2">
        <f>4*412</f>
        <v>1648</v>
      </c>
      <c r="P191" s="2">
        <f>4*398</f>
        <v>1592</v>
      </c>
      <c r="Q191" s="2">
        <f>4*589</f>
        <v>2356</v>
      </c>
      <c r="R191" s="2">
        <f>4*543</f>
        <v>2172</v>
      </c>
      <c r="S191" s="2">
        <f>4*512</f>
        <v>2048</v>
      </c>
      <c r="T191" s="2">
        <f>4*502</f>
        <v>2008</v>
      </c>
      <c r="U191" s="2">
        <f>4*479</f>
        <v>1916</v>
      </c>
      <c r="V191" s="2">
        <f>4*221</f>
        <v>884</v>
      </c>
      <c r="W191" s="6">
        <f>SUM(Table1[[#This Row],[7:00-8:00]:[22:00-23:00]])</f>
        <v>25528</v>
      </c>
    </row>
    <row r="192" spans="1:23" x14ac:dyDescent="0.25">
      <c r="A192" s="35"/>
      <c r="B192" s="101"/>
      <c r="C192" s="92"/>
      <c r="D192" s="21" t="s">
        <v>56</v>
      </c>
      <c r="E192" s="29">
        <v>130</v>
      </c>
      <c r="F192" s="5" t="s">
        <v>241</v>
      </c>
      <c r="G192" s="2">
        <f>4*33</f>
        <v>132</v>
      </c>
      <c r="H192" s="15">
        <f>4*124</f>
        <v>496</v>
      </c>
      <c r="I192" s="2">
        <f>4*197</f>
        <v>788</v>
      </c>
      <c r="J192" s="2">
        <f>4*246</f>
        <v>984</v>
      </c>
      <c r="K192" s="2">
        <f>4*465</f>
        <v>1860</v>
      </c>
      <c r="L192" s="2">
        <f>4*526</f>
        <v>2104</v>
      </c>
      <c r="M192" s="2">
        <f>4*591</f>
        <v>2364</v>
      </c>
      <c r="N192" s="2">
        <f>4*512</f>
        <v>2048</v>
      </c>
      <c r="O192" s="2">
        <f>4*689</f>
        <v>2756</v>
      </c>
      <c r="P192" s="2">
        <f>4*703</f>
        <v>2812</v>
      </c>
      <c r="Q192" s="2">
        <f>4*687</f>
        <v>2748</v>
      </c>
      <c r="R192" s="2">
        <f>4*568</f>
        <v>2272</v>
      </c>
      <c r="S192" s="2">
        <f>4*598</f>
        <v>2392</v>
      </c>
      <c r="T192" s="2">
        <f>4*534</f>
        <v>2136</v>
      </c>
      <c r="U192" s="2">
        <f>4*486</f>
        <v>1944</v>
      </c>
      <c r="V192" s="2">
        <f>4*234</f>
        <v>936</v>
      </c>
      <c r="W192" s="6">
        <f>SUM(Table1[[#This Row],[7:00-8:00]:[22:00-23:00]])</f>
        <v>28772</v>
      </c>
    </row>
    <row r="193" spans="1:24" x14ac:dyDescent="0.25">
      <c r="A193" s="35"/>
      <c r="B193" s="105"/>
      <c r="C193" s="104"/>
      <c r="D193" s="25"/>
      <c r="E193" s="31"/>
      <c r="F193" s="50" t="s">
        <v>242</v>
      </c>
      <c r="G193" s="51">
        <f>G189+G191</f>
        <v>156</v>
      </c>
      <c r="H193" s="51">
        <f t="shared" ref="H193:V193" si="57">H189+H191</f>
        <v>596</v>
      </c>
      <c r="I193" s="51">
        <f t="shared" si="57"/>
        <v>892</v>
      </c>
      <c r="J193" s="51">
        <f t="shared" si="57"/>
        <v>1212</v>
      </c>
      <c r="K193" s="51">
        <f t="shared" si="57"/>
        <v>1784</v>
      </c>
      <c r="L193" s="51">
        <f t="shared" si="57"/>
        <v>2276</v>
      </c>
      <c r="M193" s="51">
        <f t="shared" si="57"/>
        <v>2436</v>
      </c>
      <c r="N193" s="51">
        <f t="shared" si="57"/>
        <v>2212</v>
      </c>
      <c r="O193" s="51">
        <f t="shared" si="57"/>
        <v>1732</v>
      </c>
      <c r="P193" s="51">
        <f t="shared" si="57"/>
        <v>1640</v>
      </c>
      <c r="Q193" s="51">
        <f t="shared" si="57"/>
        <v>2408</v>
      </c>
      <c r="R193" s="51">
        <f t="shared" si="57"/>
        <v>2196</v>
      </c>
      <c r="S193" s="51">
        <f t="shared" si="57"/>
        <v>2120</v>
      </c>
      <c r="T193" s="51">
        <f t="shared" si="57"/>
        <v>2092</v>
      </c>
      <c r="U193" s="51">
        <f t="shared" si="57"/>
        <v>1940</v>
      </c>
      <c r="V193" s="51">
        <f t="shared" si="57"/>
        <v>892</v>
      </c>
      <c r="W193" s="7">
        <f>SUM(Table1[[#This Row],[7:00-8:00]:[22:00-23:00]])</f>
        <v>26584</v>
      </c>
    </row>
    <row r="194" spans="1:24" s="36" customFormat="1" x14ac:dyDescent="0.25">
      <c r="A194" s="46"/>
      <c r="B194" s="123">
        <v>28</v>
      </c>
      <c r="C194" s="117" t="s">
        <v>243</v>
      </c>
      <c r="D194" s="9" t="s">
        <v>24</v>
      </c>
      <c r="E194" s="32">
        <v>131</v>
      </c>
      <c r="F194" s="9" t="s">
        <v>244</v>
      </c>
      <c r="G194" s="9">
        <f>4*21</f>
        <v>84</v>
      </c>
      <c r="H194" s="66">
        <f>4*68</f>
        <v>272</v>
      </c>
      <c r="I194" s="83">
        <f>4*189</f>
        <v>756</v>
      </c>
      <c r="J194" s="84">
        <f>4*278</f>
        <v>1112</v>
      </c>
      <c r="K194" s="84">
        <f>4*342</f>
        <v>1368</v>
      </c>
      <c r="L194" s="9">
        <f>4*402</f>
        <v>1608</v>
      </c>
      <c r="M194" s="9">
        <f>4*412</f>
        <v>1648</v>
      </c>
      <c r="N194" s="9">
        <f>4*452</f>
        <v>1808</v>
      </c>
      <c r="O194" s="9">
        <f>4*421</f>
        <v>1684</v>
      </c>
      <c r="P194" s="9">
        <f>4*425</f>
        <v>1700</v>
      </c>
      <c r="Q194" s="9">
        <f>4*501</f>
        <v>2004</v>
      </c>
      <c r="R194" s="9">
        <f>4*487</f>
        <v>1948</v>
      </c>
      <c r="S194" s="9">
        <f>4*401</f>
        <v>1604</v>
      </c>
      <c r="T194" s="9">
        <f>4*357</f>
        <v>1428</v>
      </c>
      <c r="U194" s="9">
        <f>4*387</f>
        <v>1548</v>
      </c>
      <c r="V194" s="9">
        <f>4*187</f>
        <v>748</v>
      </c>
      <c r="W194" s="67">
        <f>SUM(Table1[[#This Row],[7:00-8:00]:[22:00-23:00]])</f>
        <v>21320</v>
      </c>
    </row>
    <row r="195" spans="1:24" s="36" customFormat="1" x14ac:dyDescent="0.25">
      <c r="A195" s="46"/>
      <c r="B195" s="124"/>
      <c r="C195" s="118"/>
      <c r="D195" s="8" t="s">
        <v>26</v>
      </c>
      <c r="E195" s="31">
        <v>132</v>
      </c>
      <c r="F195" s="8" t="s">
        <v>245</v>
      </c>
      <c r="G195" s="8">
        <f>4*17</f>
        <v>68</v>
      </c>
      <c r="H195" s="85">
        <f>4*58</f>
        <v>232</v>
      </c>
      <c r="I195" s="86">
        <f>4*120</f>
        <v>480</v>
      </c>
      <c r="J195" s="87">
        <f>4*241</f>
        <v>964</v>
      </c>
      <c r="K195" s="87">
        <f>4*358</f>
        <v>1432</v>
      </c>
      <c r="L195" s="8">
        <f>4*412</f>
        <v>1648</v>
      </c>
      <c r="M195" s="8">
        <f>4*497</f>
        <v>1988</v>
      </c>
      <c r="N195" s="8">
        <f>4*467</f>
        <v>1868</v>
      </c>
      <c r="O195" s="8">
        <f>4*398</f>
        <v>1592</v>
      </c>
      <c r="P195" s="8">
        <f>4*429</f>
        <v>1716</v>
      </c>
      <c r="Q195" s="8">
        <f>4*404</f>
        <v>1616</v>
      </c>
      <c r="R195" s="8">
        <f>4*351</f>
        <v>1404</v>
      </c>
      <c r="S195" s="8">
        <f>4*444</f>
        <v>1776</v>
      </c>
      <c r="T195" s="8">
        <f>4*378</f>
        <v>1512</v>
      </c>
      <c r="U195" s="8">
        <f>4*422</f>
        <v>1688</v>
      </c>
      <c r="V195" s="8">
        <f>4*149</f>
        <v>596</v>
      </c>
      <c r="W195" s="72">
        <f>SUM(Table1[[#This Row],[7:00-8:00]:[22:00-23:00]])</f>
        <v>20580</v>
      </c>
    </row>
    <row r="196" spans="1:24" x14ac:dyDescent="0.25">
      <c r="B196" s="125">
        <v>29</v>
      </c>
      <c r="C196" s="94" t="s">
        <v>246</v>
      </c>
      <c r="D196" s="5" t="s">
        <v>24</v>
      </c>
      <c r="E196" s="29">
        <v>133</v>
      </c>
      <c r="F196" s="5" t="s">
        <v>247</v>
      </c>
      <c r="G196" s="5">
        <f>4*12</f>
        <v>48</v>
      </c>
      <c r="H196" s="33">
        <f>4*64</f>
        <v>256</v>
      </c>
      <c r="I196" s="5">
        <f>4*123</f>
        <v>492</v>
      </c>
      <c r="J196" s="5">
        <f>4*148</f>
        <v>592</v>
      </c>
      <c r="K196" s="5">
        <f>4*241</f>
        <v>964</v>
      </c>
      <c r="L196" s="5">
        <f>4*297</f>
        <v>1188</v>
      </c>
      <c r="M196" s="5">
        <f>4*297</f>
        <v>1188</v>
      </c>
      <c r="N196" s="5">
        <f>4*273</f>
        <v>1092</v>
      </c>
      <c r="O196" s="5">
        <f>4*224</f>
        <v>896</v>
      </c>
      <c r="P196" s="5">
        <f>4*297</f>
        <v>1188</v>
      </c>
      <c r="Q196" s="5">
        <f>4*279</f>
        <v>1116</v>
      </c>
      <c r="R196" s="5">
        <f>4*341</f>
        <v>1364</v>
      </c>
      <c r="S196" s="5">
        <f>4*199</f>
        <v>796</v>
      </c>
      <c r="T196" s="5">
        <f>4*185</f>
        <v>740</v>
      </c>
      <c r="U196" s="5">
        <f>4*155</f>
        <v>620</v>
      </c>
      <c r="V196" s="5">
        <f>4*97</f>
        <v>388</v>
      </c>
      <c r="W196" s="68">
        <f>SUM(Table1[[#This Row],[7:00-8:00]:[22:00-23:00]])</f>
        <v>12928</v>
      </c>
      <c r="X196" s="5"/>
    </row>
    <row r="197" spans="1:24" x14ac:dyDescent="0.25">
      <c r="B197" s="126"/>
      <c r="C197" s="103"/>
      <c r="D197" s="73" t="s">
        <v>26</v>
      </c>
      <c r="E197" s="74">
        <v>134</v>
      </c>
      <c r="F197" s="73" t="s">
        <v>248</v>
      </c>
      <c r="G197" s="73">
        <f>4*15</f>
        <v>60</v>
      </c>
      <c r="H197" s="75">
        <f>4*42</f>
        <v>168</v>
      </c>
      <c r="I197" s="73">
        <f>4*152</f>
        <v>608</v>
      </c>
      <c r="J197" s="73">
        <f>4*167</f>
        <v>668</v>
      </c>
      <c r="K197" s="73">
        <f>4*258</f>
        <v>1032</v>
      </c>
      <c r="L197" s="73">
        <f>4*435</f>
        <v>1740</v>
      </c>
      <c r="M197" s="73">
        <f>4*421</f>
        <v>1684</v>
      </c>
      <c r="N197" s="73">
        <f>4*391</f>
        <v>1564</v>
      </c>
      <c r="O197" s="73">
        <f>4*339</f>
        <v>1356</v>
      </c>
      <c r="P197" s="73">
        <f>4*421</f>
        <v>1684</v>
      </c>
      <c r="Q197" s="73">
        <f>4*366</f>
        <v>1464</v>
      </c>
      <c r="R197" s="73">
        <f>4*232</f>
        <v>928</v>
      </c>
      <c r="S197" s="73">
        <f>4*247</f>
        <v>988</v>
      </c>
      <c r="T197" s="73">
        <f>4*55</f>
        <v>220</v>
      </c>
      <c r="U197" s="73">
        <f>4*287</f>
        <v>1148</v>
      </c>
      <c r="V197" s="73">
        <f>4*72</f>
        <v>288</v>
      </c>
      <c r="W197" s="76">
        <f>SUM(Table1[[#This Row],[7:00-8:00]:[22:00-23:00]])</f>
        <v>15600</v>
      </c>
      <c r="X197" s="5"/>
    </row>
    <row r="198" spans="1:24" s="36" customFormat="1" x14ac:dyDescent="0.25">
      <c r="B198" s="96">
        <v>30</v>
      </c>
      <c r="C198" s="94" t="s">
        <v>249</v>
      </c>
      <c r="D198" s="5" t="s">
        <v>24</v>
      </c>
      <c r="E198" s="29">
        <v>135</v>
      </c>
      <c r="F198" s="5" t="s">
        <v>250</v>
      </c>
      <c r="G198" s="5">
        <f>4*12</f>
        <v>48</v>
      </c>
      <c r="H198" s="33">
        <f>4*72</f>
        <v>288</v>
      </c>
      <c r="I198" s="5">
        <f>4*91</f>
        <v>364</v>
      </c>
      <c r="J198" s="5">
        <f>4*157</f>
        <v>628</v>
      </c>
      <c r="K198" s="5">
        <f>4*241</f>
        <v>964</v>
      </c>
      <c r="L198" s="5">
        <f>4*257</f>
        <v>1028</v>
      </c>
      <c r="M198" s="5">
        <f>4*210</f>
        <v>840</v>
      </c>
      <c r="N198" s="5">
        <f>4*223</f>
        <v>892</v>
      </c>
      <c r="O198" s="5">
        <f>4*145</f>
        <v>580</v>
      </c>
      <c r="P198" s="5">
        <f>4*167</f>
        <v>668</v>
      </c>
      <c r="Q198" s="5">
        <f>4*197</f>
        <v>788</v>
      </c>
      <c r="R198" s="5">
        <f>4*158</f>
        <v>632</v>
      </c>
      <c r="S198" s="5">
        <f>4*201</f>
        <v>804</v>
      </c>
      <c r="T198" s="5">
        <f>4*178</f>
        <v>712</v>
      </c>
      <c r="U198" s="5">
        <f>4*129</f>
        <v>516</v>
      </c>
      <c r="V198" s="5">
        <f>4*34</f>
        <v>136</v>
      </c>
      <c r="W198" s="68">
        <f>SUM(Table1[[#This Row],[7:00-8:00]:[22:00-23:00]])</f>
        <v>9888</v>
      </c>
    </row>
    <row r="199" spans="1:24" s="36" customFormat="1" x14ac:dyDescent="0.25">
      <c r="B199" s="97"/>
      <c r="C199" s="103"/>
      <c r="D199" s="73" t="s">
        <v>26</v>
      </c>
      <c r="E199" s="74">
        <v>136</v>
      </c>
      <c r="F199" s="73" t="s">
        <v>251</v>
      </c>
      <c r="G199" s="73">
        <f>4*8</f>
        <v>32</v>
      </c>
      <c r="H199" s="75">
        <f>4*44</f>
        <v>176</v>
      </c>
      <c r="I199" s="73">
        <f>4*57</f>
        <v>228</v>
      </c>
      <c r="J199" s="73">
        <f>4*98</f>
        <v>392</v>
      </c>
      <c r="K199" s="73">
        <f>4*188</f>
        <v>752</v>
      </c>
      <c r="L199" s="73">
        <f>4*187</f>
        <v>748</v>
      </c>
      <c r="M199" s="73">
        <f>4*197</f>
        <v>788</v>
      </c>
      <c r="N199" s="73">
        <f>4*201</f>
        <v>804</v>
      </c>
      <c r="O199" s="73">
        <f>4*167</f>
        <v>668</v>
      </c>
      <c r="P199" s="73">
        <f>4*178</f>
        <v>712</v>
      </c>
      <c r="Q199" s="73">
        <f>4*189</f>
        <v>756</v>
      </c>
      <c r="R199" s="73">
        <f>4*136</f>
        <v>544</v>
      </c>
      <c r="S199" s="73">
        <f>4*128</f>
        <v>512</v>
      </c>
      <c r="T199" s="73">
        <f>4*129</f>
        <v>516</v>
      </c>
      <c r="U199" s="73">
        <f>4*143</f>
        <v>572</v>
      </c>
      <c r="V199" s="73">
        <f>4*41</f>
        <v>164</v>
      </c>
      <c r="W199" s="76">
        <f>SUM(Table1[[#This Row],[7:00-8:00]:[22:00-23:00]])</f>
        <v>8364</v>
      </c>
    </row>
    <row r="200" spans="1:24" s="36" customFormat="1" x14ac:dyDescent="0.25">
      <c r="B200" s="96">
        <v>31</v>
      </c>
      <c r="C200" s="94" t="s">
        <v>252</v>
      </c>
      <c r="D200" s="5" t="s">
        <v>24</v>
      </c>
      <c r="E200" s="29">
        <v>137</v>
      </c>
      <c r="F200" s="5" t="s">
        <v>253</v>
      </c>
      <c r="G200" s="5">
        <f>4*7</f>
        <v>28</v>
      </c>
      <c r="H200" s="33">
        <f>4*55</f>
        <v>220</v>
      </c>
      <c r="I200" s="5">
        <f>4*149</f>
        <v>596</v>
      </c>
      <c r="J200" s="5">
        <f>4*197</f>
        <v>788</v>
      </c>
      <c r="K200" s="5">
        <f>4*297</f>
        <v>1188</v>
      </c>
      <c r="L200" s="5">
        <f>4*497</f>
        <v>1988</v>
      </c>
      <c r="M200" s="5">
        <f>4*599</f>
        <v>2396</v>
      </c>
      <c r="N200" s="5">
        <f>4*634</f>
        <v>2536</v>
      </c>
      <c r="O200" s="5">
        <f>4*587</f>
        <v>2348</v>
      </c>
      <c r="P200" s="5">
        <f>4*524</f>
        <v>2096</v>
      </c>
      <c r="Q200" s="5">
        <f>4*571</f>
        <v>2284</v>
      </c>
      <c r="R200" s="5">
        <f>4*427</f>
        <v>1708</v>
      </c>
      <c r="S200" s="5">
        <f>4*437</f>
        <v>1748</v>
      </c>
      <c r="T200" s="5">
        <f>4*401</f>
        <v>1604</v>
      </c>
      <c r="U200" s="5">
        <f>4*420</f>
        <v>1680</v>
      </c>
      <c r="V200" s="5">
        <f>4*210</f>
        <v>840</v>
      </c>
      <c r="W200" s="68">
        <f>SUM(Table1[[#This Row],[7:00-8:00]:[22:00-23:00]])</f>
        <v>24048</v>
      </c>
    </row>
    <row r="201" spans="1:24" s="36" customFormat="1" x14ac:dyDescent="0.25">
      <c r="B201" s="97"/>
      <c r="C201" s="103"/>
      <c r="D201" s="73" t="s">
        <v>26</v>
      </c>
      <c r="E201" s="74">
        <v>138</v>
      </c>
      <c r="F201" s="73" t="s">
        <v>254</v>
      </c>
      <c r="G201" s="73">
        <f>4*12</f>
        <v>48</v>
      </c>
      <c r="H201" s="75">
        <f>4*53</f>
        <v>212</v>
      </c>
      <c r="I201" s="73">
        <f>4*112</f>
        <v>448</v>
      </c>
      <c r="J201" s="73">
        <f>4*187</f>
        <v>748</v>
      </c>
      <c r="K201" s="73">
        <f>4*267</f>
        <v>1068</v>
      </c>
      <c r="L201" s="73">
        <f>4*368</f>
        <v>1472</v>
      </c>
      <c r="M201" s="73">
        <f>4*687</f>
        <v>2748</v>
      </c>
      <c r="N201" s="73">
        <f>4*743</f>
        <v>2972</v>
      </c>
      <c r="O201" s="73">
        <f>4*501</f>
        <v>2004</v>
      </c>
      <c r="P201" s="73">
        <f>4*487</f>
        <v>1948</v>
      </c>
      <c r="Q201" s="73">
        <f>4*659</f>
        <v>2636</v>
      </c>
      <c r="R201" s="73">
        <f>4*512</f>
        <v>2048</v>
      </c>
      <c r="S201" s="73">
        <f>4*551</f>
        <v>2204</v>
      </c>
      <c r="T201" s="73">
        <f>4*512</f>
        <v>2048</v>
      </c>
      <c r="U201" s="73">
        <f>4*501</f>
        <v>2004</v>
      </c>
      <c r="V201" s="73">
        <f>4*197</f>
        <v>788</v>
      </c>
      <c r="W201" s="76">
        <f>SUM(Table1[[#This Row],[7:00-8:00]:[22:00-23:00]])</f>
        <v>25396</v>
      </c>
    </row>
    <row r="202" spans="1:24" x14ac:dyDescent="0.25">
      <c r="B202" s="127">
        <v>32</v>
      </c>
      <c r="C202" s="99" t="s">
        <v>255</v>
      </c>
      <c r="D202" s="2" t="s">
        <v>24</v>
      </c>
      <c r="E202" s="28">
        <v>139</v>
      </c>
      <c r="F202" s="2" t="s">
        <v>256</v>
      </c>
      <c r="G202" s="2">
        <f>4*9</f>
        <v>36</v>
      </c>
      <c r="H202" s="15">
        <f>4*10</f>
        <v>40</v>
      </c>
      <c r="I202" s="2">
        <f>4*10</f>
        <v>40</v>
      </c>
      <c r="J202" s="2">
        <f>4*9</f>
        <v>36</v>
      </c>
      <c r="K202" s="2">
        <f>4*9</f>
        <v>36</v>
      </c>
      <c r="L202" s="2">
        <f>4*27</f>
        <v>108</v>
      </c>
      <c r="M202" s="2">
        <f>4*19</f>
        <v>76</v>
      </c>
      <c r="N202" s="2">
        <f>4*12</f>
        <v>48</v>
      </c>
      <c r="O202" s="2">
        <f>4*3</f>
        <v>12</v>
      </c>
      <c r="P202" s="2">
        <f>4*0</f>
        <v>0</v>
      </c>
      <c r="Q202" s="2">
        <f>4*16</f>
        <v>64</v>
      </c>
      <c r="R202" s="2">
        <f>4*3</f>
        <v>12</v>
      </c>
      <c r="S202" s="2">
        <f>4*30</f>
        <v>120</v>
      </c>
      <c r="T202" s="2">
        <f>4*9</f>
        <v>36</v>
      </c>
      <c r="U202" s="2">
        <f>4*12</f>
        <v>48</v>
      </c>
      <c r="V202" s="2">
        <f>4*63</f>
        <v>252</v>
      </c>
      <c r="W202" s="6">
        <f>SUM(Table1[[#This Row],[7:00-8:00]:[22:00-23:00]])</f>
        <v>964</v>
      </c>
    </row>
    <row r="203" spans="1:24" x14ac:dyDescent="0.25">
      <c r="B203" s="128"/>
      <c r="C203" s="92"/>
      <c r="D203" s="2" t="s">
        <v>26</v>
      </c>
      <c r="E203" s="28">
        <v>140</v>
      </c>
      <c r="F203" s="2" t="s">
        <v>257</v>
      </c>
      <c r="G203" s="2">
        <f>4*3</f>
        <v>12</v>
      </c>
      <c r="H203" s="15">
        <f>4*18</f>
        <v>72</v>
      </c>
      <c r="I203" s="2">
        <f>4*63</f>
        <v>252</v>
      </c>
      <c r="J203" s="2">
        <f>4*78</f>
        <v>312</v>
      </c>
      <c r="K203" s="2">
        <f>4*75</f>
        <v>300</v>
      </c>
      <c r="L203" s="2">
        <f>4*79</f>
        <v>316</v>
      </c>
      <c r="M203" s="2">
        <f>4*109</f>
        <v>436</v>
      </c>
      <c r="N203" s="2">
        <f>4*33</f>
        <v>132</v>
      </c>
      <c r="O203" s="2">
        <f>4*58</f>
        <v>232</v>
      </c>
      <c r="P203" s="2">
        <f>4*91</f>
        <v>364</v>
      </c>
      <c r="Q203" s="2">
        <f>4*52</f>
        <v>208</v>
      </c>
      <c r="R203" s="2">
        <f>4*37</f>
        <v>148</v>
      </c>
      <c r="S203" s="2">
        <f>4*82</f>
        <v>328</v>
      </c>
      <c r="T203" s="2">
        <f>4*58</f>
        <v>232</v>
      </c>
      <c r="U203" s="2">
        <f>4*28</f>
        <v>112</v>
      </c>
      <c r="V203" s="2">
        <f>4*24</f>
        <v>96</v>
      </c>
      <c r="W203" s="6">
        <f>SUM(Table1[[#This Row],[7:00-8:00]:[22:00-23:00]])</f>
        <v>3552</v>
      </c>
    </row>
    <row r="204" spans="1:24" x14ac:dyDescent="0.25">
      <c r="B204" s="128"/>
      <c r="C204" s="92"/>
      <c r="D204" s="2" t="s">
        <v>28</v>
      </c>
      <c r="E204" s="28">
        <v>141</v>
      </c>
      <c r="F204" s="2" t="s">
        <v>258</v>
      </c>
      <c r="G204" s="2">
        <f>4*7</f>
        <v>28</v>
      </c>
      <c r="H204" s="15">
        <f>4*7</f>
        <v>28</v>
      </c>
      <c r="I204" s="2">
        <f>4*49</f>
        <v>196</v>
      </c>
      <c r="J204" s="2">
        <f>4*94</f>
        <v>376</v>
      </c>
      <c r="K204" s="2">
        <f>4*288</f>
        <v>1152</v>
      </c>
      <c r="L204" s="2">
        <f>4*103</f>
        <v>412</v>
      </c>
      <c r="M204" s="2">
        <f>4*250</f>
        <v>1000</v>
      </c>
      <c r="N204" s="2">
        <f>4*279</f>
        <v>1116</v>
      </c>
      <c r="O204" s="2">
        <f>4*202</f>
        <v>808</v>
      </c>
      <c r="P204" s="2">
        <f>4*279</f>
        <v>1116</v>
      </c>
      <c r="Q204" s="2">
        <f>4*384</f>
        <v>1536</v>
      </c>
      <c r="R204" s="2">
        <f>4*238</f>
        <v>952</v>
      </c>
      <c r="S204" s="2">
        <f>4*259</f>
        <v>1036</v>
      </c>
      <c r="T204" s="2">
        <f>4*156</f>
        <v>624</v>
      </c>
      <c r="U204" s="2">
        <f>4*252</f>
        <v>1008</v>
      </c>
      <c r="V204" s="2">
        <f>4*187</f>
        <v>748</v>
      </c>
      <c r="W204" s="6">
        <f>SUM(Table1[[#This Row],[7:00-8:00]:[22:00-23:00]])</f>
        <v>12136</v>
      </c>
    </row>
    <row r="205" spans="1:24" x14ac:dyDescent="0.25">
      <c r="B205" s="128"/>
      <c r="C205" s="92"/>
      <c r="D205" s="2" t="s">
        <v>30</v>
      </c>
      <c r="E205" s="28">
        <v>142</v>
      </c>
      <c r="F205" s="2" t="s">
        <v>259</v>
      </c>
      <c r="G205" s="2">
        <f>4*34</f>
        <v>136</v>
      </c>
      <c r="H205" s="15">
        <f>4*76</f>
        <v>304</v>
      </c>
      <c r="I205" s="2">
        <f>4*160</f>
        <v>640</v>
      </c>
      <c r="J205" s="2">
        <f>4*270</f>
        <v>1080</v>
      </c>
      <c r="K205" s="2">
        <f>4*172</f>
        <v>688</v>
      </c>
      <c r="L205" s="2">
        <f>4*132</f>
        <v>528</v>
      </c>
      <c r="M205" s="2">
        <f>4*213</f>
        <v>852</v>
      </c>
      <c r="N205" s="2">
        <f>4*156</f>
        <v>624</v>
      </c>
      <c r="O205" s="2">
        <f>4*255</f>
        <v>1020</v>
      </c>
      <c r="P205" s="2">
        <f>4*252</f>
        <v>1008</v>
      </c>
      <c r="Q205" s="2">
        <f>4*169</f>
        <v>676</v>
      </c>
      <c r="R205" s="2">
        <f>4*247</f>
        <v>988</v>
      </c>
      <c r="S205" s="2">
        <f>4*229</f>
        <v>916</v>
      </c>
      <c r="T205" s="2">
        <f>4*148</f>
        <v>592</v>
      </c>
      <c r="U205" s="2">
        <f>4*109</f>
        <v>436</v>
      </c>
      <c r="V205" s="2">
        <f>4*120</f>
        <v>480</v>
      </c>
      <c r="W205" s="6">
        <f>SUM(Table1[[#This Row],[7:00-8:00]:[22:00-23:00]])</f>
        <v>10968</v>
      </c>
    </row>
    <row r="206" spans="1:24" x14ac:dyDescent="0.25">
      <c r="B206" s="128"/>
      <c r="C206" s="92"/>
      <c r="D206" s="2" t="s">
        <v>32</v>
      </c>
      <c r="E206" s="28">
        <v>143</v>
      </c>
      <c r="F206" s="2" t="s">
        <v>260</v>
      </c>
      <c r="G206" s="2">
        <f>4*2</f>
        <v>8</v>
      </c>
      <c r="H206" s="15">
        <f>4*7</f>
        <v>28</v>
      </c>
      <c r="I206" s="2">
        <f>4*6</f>
        <v>24</v>
      </c>
      <c r="J206" s="2">
        <f>4*3</f>
        <v>12</v>
      </c>
      <c r="K206" s="2">
        <f>4*9</f>
        <v>36</v>
      </c>
      <c r="L206" s="2">
        <v>0</v>
      </c>
      <c r="M206" s="2">
        <f>4*0</f>
        <v>0</v>
      </c>
      <c r="N206" s="2">
        <v>0</v>
      </c>
      <c r="O206" s="2">
        <f>4*2</f>
        <v>8</v>
      </c>
      <c r="P206" s="2">
        <f>4*0</f>
        <v>0</v>
      </c>
      <c r="Q206" s="2">
        <f>0</f>
        <v>0</v>
      </c>
      <c r="R206" s="2">
        <f>4*9</f>
        <v>36</v>
      </c>
      <c r="S206" s="2">
        <f>4*7</f>
        <v>28</v>
      </c>
      <c r="T206" s="2">
        <f>4*5</f>
        <v>20</v>
      </c>
      <c r="U206" s="2">
        <f>4*0</f>
        <v>0</v>
      </c>
      <c r="V206" s="2">
        <f>4*0</f>
        <v>0</v>
      </c>
      <c r="W206" s="6">
        <f>SUM(Table1[[#This Row],[7:00-8:00]:[22:00-23:00]])</f>
        <v>200</v>
      </c>
    </row>
    <row r="207" spans="1:24" x14ac:dyDescent="0.25">
      <c r="B207" s="128"/>
      <c r="C207" s="92"/>
      <c r="D207" s="2" t="s">
        <v>34</v>
      </c>
      <c r="E207" s="28">
        <v>144</v>
      </c>
      <c r="F207" s="2" t="s">
        <v>261</v>
      </c>
      <c r="G207" s="2">
        <f>4*5</f>
        <v>20</v>
      </c>
      <c r="H207" s="15">
        <f>4*5</f>
        <v>20</v>
      </c>
      <c r="I207" s="2">
        <f>4*2</f>
        <v>8</v>
      </c>
      <c r="J207" s="2">
        <f>4*6</f>
        <v>24</v>
      </c>
      <c r="K207" s="2">
        <v>0</v>
      </c>
      <c r="L207" s="2">
        <v>0</v>
      </c>
      <c r="M207" s="2">
        <f>4*22</f>
        <v>88</v>
      </c>
      <c r="N207" s="2">
        <v>0</v>
      </c>
      <c r="O207" s="2">
        <v>0</v>
      </c>
      <c r="P207" s="2">
        <f>4*6</f>
        <v>24</v>
      </c>
      <c r="Q207" s="2">
        <f>4*33</f>
        <v>132</v>
      </c>
      <c r="R207" s="2">
        <v>0</v>
      </c>
      <c r="S207" s="2">
        <v>0</v>
      </c>
      <c r="T207" s="2">
        <f>4*3</f>
        <v>12</v>
      </c>
      <c r="U207" s="2">
        <f>4*37</f>
        <v>148</v>
      </c>
      <c r="V207" s="2">
        <f>4*10</f>
        <v>40</v>
      </c>
      <c r="W207" s="6">
        <f>SUM(Table1[[#This Row],[7:00-8:00]:[22:00-23:00]])</f>
        <v>516</v>
      </c>
    </row>
    <row r="208" spans="1:24" x14ac:dyDescent="0.25">
      <c r="B208" s="128"/>
      <c r="C208" s="92"/>
      <c r="D208" s="2"/>
      <c r="E208" s="28"/>
      <c r="F208" s="23" t="s">
        <v>262</v>
      </c>
      <c r="G208" s="69">
        <f>G203+G205</f>
        <v>148</v>
      </c>
      <c r="H208" s="69">
        <f t="shared" ref="H208:V208" si="58">H203+H205</f>
        <v>376</v>
      </c>
      <c r="I208" s="69">
        <f t="shared" si="58"/>
        <v>892</v>
      </c>
      <c r="J208" s="69">
        <f t="shared" si="58"/>
        <v>1392</v>
      </c>
      <c r="K208" s="69">
        <f t="shared" si="58"/>
        <v>988</v>
      </c>
      <c r="L208" s="69">
        <f t="shared" si="58"/>
        <v>844</v>
      </c>
      <c r="M208" s="69">
        <f t="shared" si="58"/>
        <v>1288</v>
      </c>
      <c r="N208" s="69">
        <f t="shared" si="58"/>
        <v>756</v>
      </c>
      <c r="O208" s="69">
        <f t="shared" si="58"/>
        <v>1252</v>
      </c>
      <c r="P208" s="69">
        <f t="shared" si="58"/>
        <v>1372</v>
      </c>
      <c r="Q208" s="69">
        <f t="shared" si="58"/>
        <v>884</v>
      </c>
      <c r="R208" s="69">
        <f t="shared" si="58"/>
        <v>1136</v>
      </c>
      <c r="S208" s="69">
        <f t="shared" si="58"/>
        <v>1244</v>
      </c>
      <c r="T208" s="69">
        <f t="shared" si="58"/>
        <v>824</v>
      </c>
      <c r="U208" s="69">
        <f t="shared" si="58"/>
        <v>548</v>
      </c>
      <c r="V208" s="69">
        <f t="shared" si="58"/>
        <v>576</v>
      </c>
      <c r="W208" s="6">
        <f>SUM(Table1[[#This Row],[7:00-8:00]:[22:00-23:00]])</f>
        <v>14520</v>
      </c>
    </row>
    <row r="209" spans="2:23" x14ac:dyDescent="0.25">
      <c r="B209" s="128"/>
      <c r="C209" s="92"/>
      <c r="D209" s="2"/>
      <c r="E209" s="28"/>
      <c r="F209" s="23" t="s">
        <v>263</v>
      </c>
      <c r="G209" s="69">
        <f>G204+G206</f>
        <v>36</v>
      </c>
      <c r="H209" s="69">
        <f t="shared" ref="H209:V209" si="59">H204+H206</f>
        <v>56</v>
      </c>
      <c r="I209" s="69">
        <f t="shared" si="59"/>
        <v>220</v>
      </c>
      <c r="J209" s="69">
        <f t="shared" si="59"/>
        <v>388</v>
      </c>
      <c r="K209" s="69">
        <f t="shared" si="59"/>
        <v>1188</v>
      </c>
      <c r="L209" s="69">
        <f t="shared" si="59"/>
        <v>412</v>
      </c>
      <c r="M209" s="69">
        <f t="shared" si="59"/>
        <v>1000</v>
      </c>
      <c r="N209" s="69">
        <f t="shared" si="59"/>
        <v>1116</v>
      </c>
      <c r="O209" s="69">
        <f t="shared" si="59"/>
        <v>816</v>
      </c>
      <c r="P209" s="69">
        <f t="shared" si="59"/>
        <v>1116</v>
      </c>
      <c r="Q209" s="69">
        <f t="shared" si="59"/>
        <v>1536</v>
      </c>
      <c r="R209" s="69">
        <f t="shared" si="59"/>
        <v>988</v>
      </c>
      <c r="S209" s="69">
        <f t="shared" si="59"/>
        <v>1064</v>
      </c>
      <c r="T209" s="69">
        <f t="shared" si="59"/>
        <v>644</v>
      </c>
      <c r="U209" s="69">
        <f t="shared" si="59"/>
        <v>1008</v>
      </c>
      <c r="V209" s="69">
        <f t="shared" si="59"/>
        <v>748</v>
      </c>
      <c r="W209" s="6">
        <f>SUM(Table1[[#This Row],[7:00-8:00]:[22:00-23:00]])</f>
        <v>12336</v>
      </c>
    </row>
    <row r="210" spans="2:23" x14ac:dyDescent="0.25">
      <c r="B210" s="129"/>
      <c r="C210" s="93"/>
      <c r="D210" s="59"/>
      <c r="E210" s="60"/>
      <c r="F210" s="63" t="s">
        <v>264</v>
      </c>
      <c r="G210" s="70">
        <f>G202+G207</f>
        <v>56</v>
      </c>
      <c r="H210" s="70">
        <f t="shared" ref="H210:V210" si="60">H202+H207</f>
        <v>60</v>
      </c>
      <c r="I210" s="70">
        <f t="shared" si="60"/>
        <v>48</v>
      </c>
      <c r="J210" s="70">
        <f t="shared" si="60"/>
        <v>60</v>
      </c>
      <c r="K210" s="70">
        <f t="shared" si="60"/>
        <v>36</v>
      </c>
      <c r="L210" s="70">
        <f t="shared" si="60"/>
        <v>108</v>
      </c>
      <c r="M210" s="70">
        <f t="shared" si="60"/>
        <v>164</v>
      </c>
      <c r="N210" s="70">
        <f t="shared" si="60"/>
        <v>48</v>
      </c>
      <c r="O210" s="70">
        <f t="shared" si="60"/>
        <v>12</v>
      </c>
      <c r="P210" s="70">
        <f t="shared" si="60"/>
        <v>24</v>
      </c>
      <c r="Q210" s="70">
        <f t="shared" si="60"/>
        <v>196</v>
      </c>
      <c r="R210" s="70">
        <f t="shared" si="60"/>
        <v>12</v>
      </c>
      <c r="S210" s="70">
        <f t="shared" si="60"/>
        <v>120</v>
      </c>
      <c r="T210" s="70">
        <f t="shared" si="60"/>
        <v>48</v>
      </c>
      <c r="U210" s="70">
        <f t="shared" si="60"/>
        <v>196</v>
      </c>
      <c r="V210" s="70">
        <f t="shared" si="60"/>
        <v>292</v>
      </c>
      <c r="W210" s="62">
        <f>SUM(Table1[[#This Row],[7:00-8:00]:[22:00-23:00]])</f>
        <v>1480</v>
      </c>
    </row>
    <row r="211" spans="2:23" x14ac:dyDescent="0.25">
      <c r="B211" s="96">
        <v>33</v>
      </c>
      <c r="C211" s="92" t="s">
        <v>265</v>
      </c>
      <c r="D211" s="2" t="s">
        <v>24</v>
      </c>
      <c r="E211" s="28">
        <v>145</v>
      </c>
      <c r="F211" s="2" t="s">
        <v>266</v>
      </c>
      <c r="G211" s="2">
        <f>4*7</f>
        <v>28</v>
      </c>
      <c r="H211" s="15">
        <f>4*15</f>
        <v>60</v>
      </c>
      <c r="I211" s="2">
        <f>4*12</f>
        <v>48</v>
      </c>
      <c r="J211" s="2">
        <f>4*9</f>
        <v>36</v>
      </c>
      <c r="K211" s="2">
        <f>4*22</f>
        <v>88</v>
      </c>
      <c r="L211" s="2">
        <f>4*31</f>
        <v>124</v>
      </c>
      <c r="M211" s="2">
        <f>4*36</f>
        <v>144</v>
      </c>
      <c r="N211" s="2">
        <f>4*21</f>
        <v>84</v>
      </c>
      <c r="O211" s="2">
        <f>4*22</f>
        <v>88</v>
      </c>
      <c r="P211" s="2">
        <f>4*25</f>
        <v>100</v>
      </c>
      <c r="Q211" s="2">
        <f>4*30</f>
        <v>120</v>
      </c>
      <c r="R211" s="2">
        <f>4*21</f>
        <v>84</v>
      </c>
      <c r="S211" s="2">
        <f>4*72</f>
        <v>288</v>
      </c>
      <c r="T211" s="2">
        <f>4*34</f>
        <v>136</v>
      </c>
      <c r="U211" s="2">
        <f>4*54</f>
        <v>216</v>
      </c>
      <c r="V211" s="2">
        <f>4*112</f>
        <v>448</v>
      </c>
      <c r="W211" s="6">
        <f>SUM(Table1[[#This Row],[7:00-8:00]:[22:00-23:00]])</f>
        <v>2092</v>
      </c>
    </row>
    <row r="212" spans="2:23" x14ac:dyDescent="0.25">
      <c r="B212" s="97"/>
      <c r="C212" s="93"/>
      <c r="D212" s="59" t="s">
        <v>26</v>
      </c>
      <c r="E212" s="60">
        <v>146</v>
      </c>
      <c r="F212" s="59" t="s">
        <v>267</v>
      </c>
      <c r="G212" s="59">
        <f>4*3</f>
        <v>12</v>
      </c>
      <c r="H212" s="61">
        <f>4*2</f>
        <v>8</v>
      </c>
      <c r="I212" s="59">
        <f>4*13</f>
        <v>52</v>
      </c>
      <c r="J212" s="59">
        <f>4*9</f>
        <v>36</v>
      </c>
      <c r="K212" s="59">
        <f>4*22</f>
        <v>88</v>
      </c>
      <c r="L212" s="59">
        <f>4*27</f>
        <v>108</v>
      </c>
      <c r="M212" s="59">
        <f>4*21</f>
        <v>84</v>
      </c>
      <c r="N212" s="59">
        <f>4*13</f>
        <v>52</v>
      </c>
      <c r="O212" s="59">
        <f>4*6</f>
        <v>24</v>
      </c>
      <c r="P212" s="59">
        <f>4*10</f>
        <v>40</v>
      </c>
      <c r="Q212" s="59">
        <f>4*10</f>
        <v>40</v>
      </c>
      <c r="R212" s="59">
        <f>4*15</f>
        <v>60</v>
      </c>
      <c r="S212" s="59">
        <f>4*27</f>
        <v>108</v>
      </c>
      <c r="T212" s="59">
        <f>4*25</f>
        <v>100</v>
      </c>
      <c r="U212" s="59">
        <f>4*18</f>
        <v>72</v>
      </c>
      <c r="V212" s="59">
        <f>4*6</f>
        <v>24</v>
      </c>
      <c r="W212" s="62">
        <f>SUM(Table1[[#This Row],[7:00-8:00]:[22:00-23:00]])</f>
        <v>908</v>
      </c>
    </row>
    <row r="213" spans="2:23" x14ac:dyDescent="0.25">
      <c r="B213" s="127">
        <v>34</v>
      </c>
      <c r="C213" s="99" t="s">
        <v>268</v>
      </c>
      <c r="D213" s="2" t="s">
        <v>24</v>
      </c>
      <c r="E213" s="28">
        <v>147</v>
      </c>
      <c r="F213" s="2" t="s">
        <v>269</v>
      </c>
      <c r="G213" s="2">
        <f>4*7</f>
        <v>28</v>
      </c>
      <c r="H213" s="15">
        <f>4*5</f>
        <v>20</v>
      </c>
      <c r="I213" s="2">
        <f>4*54</f>
        <v>216</v>
      </c>
      <c r="J213" s="2">
        <f>4*39</f>
        <v>156</v>
      </c>
      <c r="K213" s="2">
        <f>4*52</f>
        <v>208</v>
      </c>
      <c r="L213" s="2">
        <f>4*10</f>
        <v>40</v>
      </c>
      <c r="M213" s="2">
        <f>4*78</f>
        <v>312</v>
      </c>
      <c r="N213" s="2">
        <f>4*103</f>
        <v>412</v>
      </c>
      <c r="O213" s="2">
        <f>4*60</f>
        <v>240</v>
      </c>
      <c r="P213" s="2">
        <f>4*81</f>
        <v>324</v>
      </c>
      <c r="Q213" s="2">
        <f>4*64</f>
        <v>256</v>
      </c>
      <c r="R213" s="2">
        <f>4*22</f>
        <v>88</v>
      </c>
      <c r="S213" s="2">
        <f>4*43</f>
        <v>172</v>
      </c>
      <c r="T213" s="2">
        <f>4*37</f>
        <v>148</v>
      </c>
      <c r="U213" s="2">
        <f>4*40</f>
        <v>160</v>
      </c>
      <c r="V213" s="2">
        <f>4*28</f>
        <v>112</v>
      </c>
      <c r="W213" s="6">
        <f>SUM(Table1[[#This Row],[7:00-8:00]:[22:00-23:00]])</f>
        <v>2892</v>
      </c>
    </row>
    <row r="214" spans="2:23" x14ac:dyDescent="0.25">
      <c r="B214" s="128"/>
      <c r="C214" s="92"/>
      <c r="D214" s="2" t="s">
        <v>26</v>
      </c>
      <c r="E214" s="28">
        <v>148</v>
      </c>
      <c r="F214" s="2" t="s">
        <v>270</v>
      </c>
      <c r="G214" s="2">
        <f>4*7</f>
        <v>28</v>
      </c>
      <c r="H214" s="15">
        <f>4*24</f>
        <v>96</v>
      </c>
      <c r="I214" s="2">
        <f>4*54</f>
        <v>216</v>
      </c>
      <c r="J214" s="2">
        <f>4*15</f>
        <v>60</v>
      </c>
      <c r="K214" s="2">
        <f>4*46</f>
        <v>184</v>
      </c>
      <c r="L214" s="2">
        <f>4*31</f>
        <v>124</v>
      </c>
      <c r="M214" s="2">
        <f>4*15</f>
        <v>60</v>
      </c>
      <c r="N214" s="2">
        <f>4*72</f>
        <v>288</v>
      </c>
      <c r="O214" s="2">
        <f>4*28</f>
        <v>112</v>
      </c>
      <c r="P214" s="2">
        <f>4*84</f>
        <v>336</v>
      </c>
      <c r="Q214" s="2">
        <f>4*49</f>
        <v>196</v>
      </c>
      <c r="R214" s="2">
        <f>4*31</f>
        <v>124</v>
      </c>
      <c r="S214" s="2">
        <f>4*60</f>
        <v>240</v>
      </c>
      <c r="T214" s="2">
        <f>4*36</f>
        <v>144</v>
      </c>
      <c r="U214" s="2">
        <f>4*22</f>
        <v>88</v>
      </c>
      <c r="V214" s="2">
        <f>4*3</f>
        <v>12</v>
      </c>
      <c r="W214" s="6">
        <f>SUM(Table1[[#This Row],[7:00-8:00]:[22:00-23:00]])</f>
        <v>2308</v>
      </c>
    </row>
    <row r="215" spans="2:23" x14ac:dyDescent="0.25">
      <c r="B215" s="128"/>
      <c r="C215" s="92"/>
      <c r="D215" s="2" t="s">
        <v>54</v>
      </c>
      <c r="E215" s="28">
        <v>149</v>
      </c>
      <c r="F215" s="2" t="s">
        <v>271</v>
      </c>
      <c r="G215" s="2">
        <f>4*22</f>
        <v>88</v>
      </c>
      <c r="H215" s="15">
        <f>4*19</f>
        <v>76</v>
      </c>
      <c r="I215" s="2">
        <f>4*25</f>
        <v>100</v>
      </c>
      <c r="J215" s="2">
        <f>4*31</f>
        <v>124</v>
      </c>
      <c r="K215" s="2">
        <f>4*45</f>
        <v>180</v>
      </c>
      <c r="L215" s="2">
        <f>4*72</f>
        <v>288</v>
      </c>
      <c r="M215" s="2">
        <f>4*72</f>
        <v>288</v>
      </c>
      <c r="N215" s="2">
        <f>4*96</f>
        <v>384</v>
      </c>
      <c r="O215" s="2">
        <f>4*141</f>
        <v>564</v>
      </c>
      <c r="P215" s="2">
        <f>4*102</f>
        <v>408</v>
      </c>
      <c r="Q215" s="2">
        <f>4*93</f>
        <v>372</v>
      </c>
      <c r="R215" s="2">
        <f>4*82</f>
        <v>328</v>
      </c>
      <c r="S215" s="2">
        <f>4*114</f>
        <v>456</v>
      </c>
      <c r="T215" s="2">
        <f>4*82</f>
        <v>328</v>
      </c>
      <c r="U215" s="2">
        <f>4*235</f>
        <v>940</v>
      </c>
      <c r="V215" s="2">
        <f>4*78</f>
        <v>312</v>
      </c>
      <c r="W215" s="6">
        <f>SUM(Table1[[#This Row],[7:00-8:00]:[22:00-23:00]])</f>
        <v>5236</v>
      </c>
    </row>
    <row r="216" spans="2:23" x14ac:dyDescent="0.25">
      <c r="B216" s="128"/>
      <c r="C216" s="92"/>
      <c r="D216" s="2" t="s">
        <v>56</v>
      </c>
      <c r="E216" s="28">
        <v>150</v>
      </c>
      <c r="F216" s="2" t="s">
        <v>272</v>
      </c>
      <c r="G216" s="2">
        <f>4*43</f>
        <v>172</v>
      </c>
      <c r="H216" s="15">
        <f>4*43</f>
        <v>172</v>
      </c>
      <c r="I216" s="2">
        <f>4*147</f>
        <v>588</v>
      </c>
      <c r="J216" s="2">
        <f>4*165</f>
        <v>660</v>
      </c>
      <c r="K216" s="2">
        <f>4*135</f>
        <v>540</v>
      </c>
      <c r="L216" s="2">
        <f>4*118</f>
        <v>472</v>
      </c>
      <c r="M216" s="2">
        <f>4*135</f>
        <v>540</v>
      </c>
      <c r="N216" s="2">
        <f>4*36</f>
        <v>144</v>
      </c>
      <c r="O216" s="2">
        <f>4*115</f>
        <v>460</v>
      </c>
      <c r="P216" s="2">
        <f>4*142</f>
        <v>568</v>
      </c>
      <c r="Q216" s="2">
        <f>4*109</f>
        <v>436</v>
      </c>
      <c r="R216" s="2">
        <f>4*139</f>
        <v>556</v>
      </c>
      <c r="S216" s="2">
        <f>4*139</f>
        <v>556</v>
      </c>
      <c r="T216" s="2">
        <f>4*133</f>
        <v>532</v>
      </c>
      <c r="U216" s="2">
        <f>4*153</f>
        <v>612</v>
      </c>
      <c r="V216" s="2">
        <f>4*69</f>
        <v>276</v>
      </c>
      <c r="W216" s="6">
        <f>SUM(Table1[[#This Row],[7:00-8:00]:[22:00-23:00]])</f>
        <v>7284</v>
      </c>
    </row>
    <row r="217" spans="2:23" x14ac:dyDescent="0.25">
      <c r="B217" s="128"/>
      <c r="C217" s="92"/>
      <c r="D217" s="2" t="s">
        <v>133</v>
      </c>
      <c r="E217" s="28">
        <v>151</v>
      </c>
      <c r="F217" s="2" t="s">
        <v>273</v>
      </c>
      <c r="G217" s="2">
        <f>4*3</f>
        <v>12</v>
      </c>
      <c r="H217" s="15">
        <f>4*5</f>
        <v>20</v>
      </c>
      <c r="I217" s="2">
        <f>4*3</f>
        <v>12</v>
      </c>
      <c r="J217" s="2">
        <f>4*3</f>
        <v>12</v>
      </c>
      <c r="K217" s="2">
        <f>4*5</f>
        <v>20</v>
      </c>
      <c r="L217" s="2">
        <f>4*63</f>
        <v>252</v>
      </c>
      <c r="M217" s="2">
        <f>4*27</f>
        <v>108</v>
      </c>
      <c r="N217" s="2">
        <f>4*3</f>
        <v>12</v>
      </c>
      <c r="O217" s="2">
        <f>4*2</f>
        <v>8</v>
      </c>
      <c r="P217" s="2">
        <f>4*3</f>
        <v>12</v>
      </c>
      <c r="Q217" s="2">
        <f>4*9</f>
        <v>36</v>
      </c>
      <c r="R217" s="2">
        <f>4*7</f>
        <v>28</v>
      </c>
      <c r="S217" s="2">
        <f>4*0</f>
        <v>0</v>
      </c>
      <c r="T217" s="2">
        <f>4*0</f>
        <v>0</v>
      </c>
      <c r="U217" s="2">
        <f>4*6</f>
        <v>24</v>
      </c>
      <c r="V217" s="2">
        <f>4*0</f>
        <v>0</v>
      </c>
      <c r="W217" s="6">
        <f>SUM(Table1[[#This Row],[7:00-8:00]:[22:00-23:00]])</f>
        <v>556</v>
      </c>
    </row>
    <row r="218" spans="2:23" x14ac:dyDescent="0.25">
      <c r="B218" s="128"/>
      <c r="C218" s="92"/>
      <c r="D218" s="2" t="s">
        <v>135</v>
      </c>
      <c r="E218" s="28">
        <v>152</v>
      </c>
      <c r="F218" s="2" t="s">
        <v>274</v>
      </c>
      <c r="G218" s="2">
        <v>0</v>
      </c>
      <c r="H218" s="15">
        <f>4*2</f>
        <v>8</v>
      </c>
      <c r="I218" s="2">
        <v>0</v>
      </c>
      <c r="J218" s="2">
        <f>4*6</f>
        <v>24</v>
      </c>
      <c r="K218" s="2">
        <f>4*3</f>
        <v>12</v>
      </c>
      <c r="L218" s="2">
        <f>4*13</f>
        <v>52</v>
      </c>
      <c r="M218" s="2">
        <f>4*5</f>
        <v>20</v>
      </c>
      <c r="N218" s="2">
        <f>4*6</f>
        <v>24</v>
      </c>
      <c r="O218" s="2">
        <f>4*3</f>
        <v>12</v>
      </c>
      <c r="P218" s="2">
        <f>4*4</f>
        <v>16</v>
      </c>
      <c r="Q218" s="2">
        <f>4*6</f>
        <v>24</v>
      </c>
      <c r="R218" s="2">
        <f>4*9</f>
        <v>36</v>
      </c>
      <c r="S218" s="2">
        <f>4*3</f>
        <v>12</v>
      </c>
      <c r="T218" s="2">
        <f>4*6</f>
        <v>24</v>
      </c>
      <c r="U218" s="2">
        <f>4*6</f>
        <v>24</v>
      </c>
      <c r="V218" s="2">
        <f>4*10</f>
        <v>40</v>
      </c>
      <c r="W218" s="6">
        <f>SUM(Table1[[#This Row],[7:00-8:00]:[22:00-23:00]])</f>
        <v>328</v>
      </c>
    </row>
    <row r="219" spans="2:23" x14ac:dyDescent="0.25">
      <c r="B219" s="128"/>
      <c r="C219" s="92"/>
      <c r="D219" s="2" t="s">
        <v>275</v>
      </c>
      <c r="E219" s="28">
        <v>153</v>
      </c>
      <c r="F219" s="2" t="s">
        <v>276</v>
      </c>
      <c r="G219" s="2">
        <v>0</v>
      </c>
      <c r="H219" s="15">
        <f>4*2</f>
        <v>8</v>
      </c>
      <c r="I219" s="2">
        <f>4*6</f>
        <v>24</v>
      </c>
      <c r="J219" s="2">
        <f>4*3</f>
        <v>12</v>
      </c>
      <c r="K219" s="2">
        <f>4*5</f>
        <v>20</v>
      </c>
      <c r="L219" s="2">
        <f>4*3</f>
        <v>12</v>
      </c>
      <c r="M219" s="2">
        <f>4*31</f>
        <v>124</v>
      </c>
      <c r="N219" s="2">
        <f>4*6</f>
        <v>24</v>
      </c>
      <c r="O219" s="2">
        <f>0</f>
        <v>0</v>
      </c>
      <c r="P219" s="2">
        <f>4*0</f>
        <v>0</v>
      </c>
      <c r="Q219" s="2">
        <f>4*15</f>
        <v>60</v>
      </c>
      <c r="R219" s="2">
        <f>4*0</f>
        <v>0</v>
      </c>
      <c r="S219" s="2">
        <v>0</v>
      </c>
      <c r="T219" s="2">
        <f>4*5</f>
        <v>20</v>
      </c>
      <c r="U219" s="2">
        <v>0</v>
      </c>
      <c r="V219" s="2">
        <v>0</v>
      </c>
      <c r="W219" s="6">
        <f>SUM(Table1[[#This Row],[7:00-8:00]:[22:00-23:00]])</f>
        <v>304</v>
      </c>
    </row>
    <row r="220" spans="2:23" x14ac:dyDescent="0.25">
      <c r="B220" s="129"/>
      <c r="C220" s="93"/>
      <c r="D220" s="59" t="s">
        <v>277</v>
      </c>
      <c r="E220" s="60">
        <v>154</v>
      </c>
      <c r="F220" s="59" t="s">
        <v>278</v>
      </c>
      <c r="G220" s="59">
        <v>0</v>
      </c>
      <c r="H220" s="61">
        <f>4*1</f>
        <v>4</v>
      </c>
      <c r="I220" s="59">
        <f>4*5</f>
        <v>20</v>
      </c>
      <c r="J220" s="59">
        <f>4*4</f>
        <v>16</v>
      </c>
      <c r="K220" s="59">
        <f>4*3</f>
        <v>12</v>
      </c>
      <c r="L220" s="59">
        <f>4*2</f>
        <v>8</v>
      </c>
      <c r="M220" s="59">
        <f>4*6</f>
        <v>24</v>
      </c>
      <c r="N220" s="59">
        <v>0</v>
      </c>
      <c r="O220" s="59">
        <v>0</v>
      </c>
      <c r="P220" s="59">
        <f>4*2</f>
        <v>8</v>
      </c>
      <c r="Q220" s="59">
        <f>4*5</f>
        <v>20</v>
      </c>
      <c r="R220" s="59">
        <f>4*2</f>
        <v>8</v>
      </c>
      <c r="S220" s="59">
        <v>0</v>
      </c>
      <c r="T220" s="59">
        <f>4*3</f>
        <v>12</v>
      </c>
      <c r="U220" s="59">
        <v>0</v>
      </c>
      <c r="V220" s="59">
        <v>0</v>
      </c>
      <c r="W220" s="62">
        <f>SUM(Table1[[#This Row],[7:00-8:00]:[22:00-23:00]])</f>
        <v>132</v>
      </c>
    </row>
    <row r="221" spans="2:23" x14ac:dyDescent="0.25">
      <c r="B221" s="96">
        <v>35</v>
      </c>
      <c r="C221" s="92" t="s">
        <v>279</v>
      </c>
      <c r="D221" s="2" t="s">
        <v>24</v>
      </c>
      <c r="E221" s="28">
        <v>155</v>
      </c>
      <c r="F221" s="2" t="s">
        <v>280</v>
      </c>
      <c r="G221" s="2">
        <f>4*2</f>
        <v>8</v>
      </c>
      <c r="H221" s="15">
        <f>4*5</f>
        <v>20</v>
      </c>
      <c r="I221" s="2">
        <f>4*3</f>
        <v>12</v>
      </c>
      <c r="J221" s="2">
        <f>4*30</f>
        <v>120</v>
      </c>
      <c r="K221" s="2">
        <f>4*45</f>
        <v>180</v>
      </c>
      <c r="L221" s="2">
        <f>4*37</f>
        <v>148</v>
      </c>
      <c r="M221" s="2">
        <f>4*13</f>
        <v>52</v>
      </c>
      <c r="N221" s="2">
        <f>4*25</f>
        <v>100</v>
      </c>
      <c r="O221" s="2">
        <f>4*133</f>
        <v>532</v>
      </c>
      <c r="P221" s="2">
        <f>4*27</f>
        <v>108</v>
      </c>
      <c r="Q221" s="2">
        <f>4*25</f>
        <v>100</v>
      </c>
      <c r="R221" s="2">
        <f>4*15</f>
        <v>60</v>
      </c>
      <c r="S221" s="2">
        <f>4*33</f>
        <v>132</v>
      </c>
      <c r="T221" s="2">
        <f>4*0</f>
        <v>0</v>
      </c>
      <c r="U221" s="2">
        <f>4*10</f>
        <v>40</v>
      </c>
      <c r="V221" s="2">
        <f>4*5</f>
        <v>20</v>
      </c>
      <c r="W221" s="6">
        <f>SUM(Table1[[#This Row],[7:00-8:00]:[22:00-23:00]])</f>
        <v>1632</v>
      </c>
    </row>
    <row r="222" spans="2:23" x14ac:dyDescent="0.25">
      <c r="B222" s="96"/>
      <c r="C222" s="92"/>
      <c r="D222" s="2" t="s">
        <v>26</v>
      </c>
      <c r="E222" s="28">
        <v>156</v>
      </c>
      <c r="F222" s="2" t="s">
        <v>281</v>
      </c>
      <c r="G222" s="2">
        <f>4*12</f>
        <v>48</v>
      </c>
      <c r="H222" s="15">
        <f>4*10</f>
        <v>40</v>
      </c>
      <c r="I222" s="2">
        <f>4*7</f>
        <v>28</v>
      </c>
      <c r="J222" s="2">
        <f>4*43</f>
        <v>172</v>
      </c>
      <c r="K222" s="2">
        <f>4*82</f>
        <v>328</v>
      </c>
      <c r="L222" s="2">
        <f>4*76</f>
        <v>304</v>
      </c>
      <c r="M222" s="2">
        <f>4*16</f>
        <v>64</v>
      </c>
      <c r="N222" s="2">
        <f>4*37</f>
        <v>148</v>
      </c>
      <c r="O222" s="2">
        <f>4*27</f>
        <v>108</v>
      </c>
      <c r="P222" s="2">
        <f>4*18</f>
        <v>72</v>
      </c>
      <c r="Q222" s="2">
        <f>4*28</f>
        <v>112</v>
      </c>
      <c r="R222" s="2">
        <f>4*18</f>
        <v>72</v>
      </c>
      <c r="S222" s="2">
        <f>4*12</f>
        <v>48</v>
      </c>
      <c r="T222" s="2">
        <f>4*30</f>
        <v>120</v>
      </c>
      <c r="U222" s="2">
        <f>4*7</f>
        <v>28</v>
      </c>
      <c r="V222" s="2">
        <f>4*9</f>
        <v>36</v>
      </c>
      <c r="W222" s="6">
        <f>SUM(Table1[[#This Row],[7:00-8:00]:[22:00-23:00]])</f>
        <v>1728</v>
      </c>
    </row>
    <row r="223" spans="2:23" x14ac:dyDescent="0.25">
      <c r="B223" s="96"/>
      <c r="C223" s="92"/>
      <c r="D223" s="2" t="s">
        <v>54</v>
      </c>
      <c r="E223" s="28">
        <v>157</v>
      </c>
      <c r="F223" s="2" t="s">
        <v>282</v>
      </c>
      <c r="G223" s="2">
        <f>4*15</f>
        <v>60</v>
      </c>
      <c r="H223" s="15">
        <f>4*19</f>
        <v>76</v>
      </c>
      <c r="I223" s="2">
        <f>4*52</f>
        <v>208</v>
      </c>
      <c r="J223" s="2">
        <f>4*44</f>
        <v>176</v>
      </c>
      <c r="K223" s="2">
        <f>4*93</f>
        <v>372</v>
      </c>
      <c r="L223" s="2">
        <f>4*48</f>
        <v>192</v>
      </c>
      <c r="M223" s="2">
        <f>4*105</f>
        <v>420</v>
      </c>
      <c r="N223" s="2">
        <f>4*133</f>
        <v>532</v>
      </c>
      <c r="O223" s="2">
        <f>4*40</f>
        <v>160</v>
      </c>
      <c r="P223" s="2">
        <f>4*97</f>
        <v>388</v>
      </c>
      <c r="Q223" s="2">
        <f>4*96</f>
        <v>384</v>
      </c>
      <c r="R223" s="2">
        <f>4*43</f>
        <v>172</v>
      </c>
      <c r="S223" s="2">
        <f>4*64</f>
        <v>256</v>
      </c>
      <c r="T223" s="2">
        <f>4*94</f>
        <v>376</v>
      </c>
      <c r="U223" s="2">
        <f>4*67</f>
        <v>268</v>
      </c>
      <c r="V223" s="2">
        <f>4*55</f>
        <v>220</v>
      </c>
      <c r="W223" s="6">
        <f>SUM(Table1[[#This Row],[7:00-8:00]:[22:00-23:00]])</f>
        <v>4260</v>
      </c>
    </row>
    <row r="224" spans="2:23" x14ac:dyDescent="0.25">
      <c r="B224" s="96"/>
      <c r="C224" s="92"/>
      <c r="D224" s="2" t="s">
        <v>56</v>
      </c>
      <c r="E224" s="28">
        <v>158</v>
      </c>
      <c r="F224" s="2" t="s">
        <v>283</v>
      </c>
      <c r="G224" s="2">
        <f>4*5</f>
        <v>20</v>
      </c>
      <c r="H224" s="15">
        <f>4*12</f>
        <v>48</v>
      </c>
      <c r="I224" s="2">
        <f>4*6</f>
        <v>24</v>
      </c>
      <c r="J224" s="2">
        <f>4*43</f>
        <v>172</v>
      </c>
      <c r="K224" s="2">
        <f>4*48</f>
        <v>192</v>
      </c>
      <c r="L224" s="2">
        <f>4*69</f>
        <v>276</v>
      </c>
      <c r="M224" s="2">
        <f>4*78</f>
        <v>312</v>
      </c>
      <c r="N224" s="2">
        <f>4*28</f>
        <v>112</v>
      </c>
      <c r="O224" s="2">
        <f>4*39</f>
        <v>156</v>
      </c>
      <c r="P224" s="2">
        <f>4*43</f>
        <v>172</v>
      </c>
      <c r="Q224" s="2">
        <f>4*42</f>
        <v>168</v>
      </c>
      <c r="R224" s="2">
        <f>4*67</f>
        <v>268</v>
      </c>
      <c r="S224" s="2">
        <f>4*21</f>
        <v>84</v>
      </c>
      <c r="T224" s="2">
        <f>4*30</f>
        <v>120</v>
      </c>
      <c r="U224" s="2">
        <f>4*40</f>
        <v>160</v>
      </c>
      <c r="V224" s="2">
        <f>4*37</f>
        <v>148</v>
      </c>
      <c r="W224" s="6">
        <f>SUM(Table1[[#This Row],[7:00-8:00]:[22:00-23:00]])</f>
        <v>2432</v>
      </c>
    </row>
    <row r="225" spans="2:23" x14ac:dyDescent="0.25">
      <c r="B225" s="96"/>
      <c r="C225" s="92"/>
      <c r="D225" s="2"/>
      <c r="E225" s="28"/>
      <c r="F225" s="23" t="s">
        <v>284</v>
      </c>
      <c r="G225" s="69">
        <f>G222+G224</f>
        <v>68</v>
      </c>
      <c r="H225" s="69">
        <f t="shared" ref="H225:V225" si="61">H222+H224</f>
        <v>88</v>
      </c>
      <c r="I225" s="69">
        <f t="shared" si="61"/>
        <v>52</v>
      </c>
      <c r="J225" s="69">
        <f t="shared" si="61"/>
        <v>344</v>
      </c>
      <c r="K225" s="69">
        <f t="shared" si="61"/>
        <v>520</v>
      </c>
      <c r="L225" s="69">
        <f t="shared" si="61"/>
        <v>580</v>
      </c>
      <c r="M225" s="69">
        <f t="shared" si="61"/>
        <v>376</v>
      </c>
      <c r="N225" s="69">
        <f t="shared" si="61"/>
        <v>260</v>
      </c>
      <c r="O225" s="69">
        <f t="shared" si="61"/>
        <v>264</v>
      </c>
      <c r="P225" s="69">
        <f t="shared" si="61"/>
        <v>244</v>
      </c>
      <c r="Q225" s="69">
        <f t="shared" si="61"/>
        <v>280</v>
      </c>
      <c r="R225" s="69">
        <f t="shared" si="61"/>
        <v>340</v>
      </c>
      <c r="S225" s="69">
        <f t="shared" si="61"/>
        <v>132</v>
      </c>
      <c r="T225" s="69">
        <f t="shared" si="61"/>
        <v>240</v>
      </c>
      <c r="U225" s="69">
        <f t="shared" si="61"/>
        <v>188</v>
      </c>
      <c r="V225" s="69">
        <f t="shared" si="61"/>
        <v>184</v>
      </c>
      <c r="W225" s="6">
        <f>SUM(Table1[[#This Row],[7:00-8:00]:[22:00-23:00]])</f>
        <v>4160</v>
      </c>
    </row>
    <row r="226" spans="2:23" x14ac:dyDescent="0.25">
      <c r="B226" s="97"/>
      <c r="C226" s="93"/>
      <c r="D226" s="59"/>
      <c r="E226" s="60"/>
      <c r="F226" s="63" t="s">
        <v>285</v>
      </c>
      <c r="G226" s="70">
        <f>G221+G223</f>
        <v>68</v>
      </c>
      <c r="H226" s="70">
        <f t="shared" ref="H226:V226" si="62">H221+H223</f>
        <v>96</v>
      </c>
      <c r="I226" s="70">
        <f t="shared" si="62"/>
        <v>220</v>
      </c>
      <c r="J226" s="70">
        <f t="shared" si="62"/>
        <v>296</v>
      </c>
      <c r="K226" s="70">
        <f t="shared" si="62"/>
        <v>552</v>
      </c>
      <c r="L226" s="70">
        <f t="shared" si="62"/>
        <v>340</v>
      </c>
      <c r="M226" s="70">
        <f t="shared" si="62"/>
        <v>472</v>
      </c>
      <c r="N226" s="70">
        <f t="shared" si="62"/>
        <v>632</v>
      </c>
      <c r="O226" s="70">
        <f t="shared" si="62"/>
        <v>692</v>
      </c>
      <c r="P226" s="70">
        <f t="shared" si="62"/>
        <v>496</v>
      </c>
      <c r="Q226" s="70">
        <f t="shared" si="62"/>
        <v>484</v>
      </c>
      <c r="R226" s="70">
        <f t="shared" si="62"/>
        <v>232</v>
      </c>
      <c r="S226" s="70">
        <f t="shared" si="62"/>
        <v>388</v>
      </c>
      <c r="T226" s="70">
        <f t="shared" si="62"/>
        <v>376</v>
      </c>
      <c r="U226" s="70">
        <f t="shared" si="62"/>
        <v>308</v>
      </c>
      <c r="V226" s="70">
        <f t="shared" si="62"/>
        <v>240</v>
      </c>
      <c r="W226" s="62">
        <f>SUM(Table1[[#This Row],[7:00-8:00]:[22:00-23:00]])</f>
        <v>5892</v>
      </c>
    </row>
    <row r="227" spans="2:23" x14ac:dyDescent="0.25">
      <c r="B227" s="96">
        <v>36</v>
      </c>
      <c r="C227" s="92" t="s">
        <v>286</v>
      </c>
      <c r="D227" s="2" t="s">
        <v>24</v>
      </c>
      <c r="E227" s="28">
        <v>159</v>
      </c>
      <c r="F227" s="2" t="s">
        <v>287</v>
      </c>
      <c r="G227" s="2">
        <v>0</v>
      </c>
      <c r="H227" s="15">
        <f>4*6</f>
        <v>24</v>
      </c>
      <c r="I227" s="2">
        <f>4*15</f>
        <v>60</v>
      </c>
      <c r="J227" s="2">
        <f>4*10</f>
        <v>40</v>
      </c>
      <c r="K227" s="2">
        <f>4*18</f>
        <v>72</v>
      </c>
      <c r="L227" s="2">
        <f>4*27</f>
        <v>108</v>
      </c>
      <c r="M227" s="2">
        <f>4*25</f>
        <v>100</v>
      </c>
      <c r="N227" s="2">
        <f>4*15</f>
        <v>60</v>
      </c>
      <c r="O227" s="2">
        <f>4*49</f>
        <v>196</v>
      </c>
      <c r="P227" s="2">
        <f>4*34</f>
        <v>136</v>
      </c>
      <c r="Q227" s="2">
        <f>4*33</f>
        <v>132</v>
      </c>
      <c r="R227" s="2">
        <f>4*22</f>
        <v>88</v>
      </c>
      <c r="S227" s="2">
        <f>4*21</f>
        <v>84</v>
      </c>
      <c r="T227" s="2">
        <f>4*22</f>
        <v>88</v>
      </c>
      <c r="U227" s="2">
        <v>0</v>
      </c>
      <c r="V227" s="71">
        <v>0</v>
      </c>
      <c r="W227" s="6">
        <f>SUM(Table1[[#This Row],[7:00-8:00]:[22:00-23:00]])</f>
        <v>1188</v>
      </c>
    </row>
    <row r="228" spans="2:23" x14ac:dyDescent="0.25">
      <c r="B228" s="96"/>
      <c r="C228" s="92"/>
      <c r="D228" s="2" t="s">
        <v>26</v>
      </c>
      <c r="E228" s="28">
        <v>160</v>
      </c>
      <c r="F228" s="2" t="s">
        <v>288</v>
      </c>
      <c r="G228" s="2">
        <v>0</v>
      </c>
      <c r="H228" s="15">
        <f>4*2</f>
        <v>8</v>
      </c>
      <c r="I228" s="2">
        <f>4*5</f>
        <v>20</v>
      </c>
      <c r="J228" s="2">
        <f>4*18</f>
        <v>72</v>
      </c>
      <c r="K228" s="2">
        <f>4*21</f>
        <v>84</v>
      </c>
      <c r="L228" s="2">
        <f>4*16</f>
        <v>64</v>
      </c>
      <c r="M228" s="2">
        <f>4*34</f>
        <v>136</v>
      </c>
      <c r="N228" s="2">
        <f>4*33</f>
        <v>132</v>
      </c>
      <c r="O228" s="2">
        <f>4*25</f>
        <v>100</v>
      </c>
      <c r="P228" s="2">
        <f>4*28</f>
        <v>112</v>
      </c>
      <c r="Q228" s="2">
        <f>4*42</f>
        <v>168</v>
      </c>
      <c r="R228" s="2">
        <f>4*25</f>
        <v>100</v>
      </c>
      <c r="S228" s="2">
        <f>4*28</f>
        <v>112</v>
      </c>
      <c r="T228" s="2">
        <f>4*7</f>
        <v>28</v>
      </c>
      <c r="U228" s="2">
        <v>0</v>
      </c>
      <c r="V228" s="71">
        <v>0</v>
      </c>
      <c r="W228" s="6">
        <f>SUM(Table1[[#This Row],[7:00-8:00]:[22:00-23:00]])</f>
        <v>1136</v>
      </c>
    </row>
    <row r="229" spans="2:23" x14ac:dyDescent="0.25">
      <c r="B229" s="96"/>
      <c r="C229" s="92"/>
      <c r="D229" s="2" t="s">
        <v>54</v>
      </c>
      <c r="E229" s="28">
        <v>161</v>
      </c>
      <c r="F229" s="2" t="s">
        <v>289</v>
      </c>
      <c r="G229" s="2">
        <f>4*5</f>
        <v>20</v>
      </c>
      <c r="H229" s="15">
        <v>0</v>
      </c>
      <c r="I229" s="2">
        <f>4*27</f>
        <v>108</v>
      </c>
      <c r="J229" s="2">
        <f>4*3</f>
        <v>12</v>
      </c>
      <c r="K229" s="2">
        <f>4*19</f>
        <v>76</v>
      </c>
      <c r="L229" s="2">
        <f>4*6</f>
        <v>24</v>
      </c>
      <c r="M229" s="2">
        <f>4*10</f>
        <v>40</v>
      </c>
      <c r="N229" s="2">
        <f>4*3</f>
        <v>12</v>
      </c>
      <c r="O229" s="2">
        <f>4*7</f>
        <v>28</v>
      </c>
      <c r="P229" s="2">
        <f>4*5</f>
        <v>20</v>
      </c>
      <c r="Q229" s="2">
        <f>0</f>
        <v>0</v>
      </c>
      <c r="R229" s="2">
        <f>4*5</f>
        <v>20</v>
      </c>
      <c r="S229" s="2">
        <f>4*1</f>
        <v>4</v>
      </c>
      <c r="T229" s="2">
        <f>4*2</f>
        <v>8</v>
      </c>
      <c r="U229" s="2">
        <v>0</v>
      </c>
      <c r="V229" s="2">
        <v>0</v>
      </c>
      <c r="W229" s="6">
        <f>SUM(Table1[[#This Row],[7:00-8:00]:[22:00-23:00]])</f>
        <v>372</v>
      </c>
    </row>
    <row r="230" spans="2:23" x14ac:dyDescent="0.25">
      <c r="B230" s="96"/>
      <c r="C230" s="92"/>
      <c r="D230" s="2" t="s">
        <v>56</v>
      </c>
      <c r="E230" s="28">
        <v>162</v>
      </c>
      <c r="F230" s="2" t="s">
        <v>290</v>
      </c>
      <c r="G230" s="2">
        <f>4*2</f>
        <v>8</v>
      </c>
      <c r="H230" s="15">
        <f>4*9</f>
        <v>36</v>
      </c>
      <c r="I230" s="2">
        <f>4*3</f>
        <v>12</v>
      </c>
      <c r="J230" s="2">
        <v>0</v>
      </c>
      <c r="K230" s="2">
        <v>0</v>
      </c>
      <c r="L230" s="2">
        <f>4*3</f>
        <v>12</v>
      </c>
      <c r="M230" s="2">
        <f>4*1</f>
        <v>4</v>
      </c>
      <c r="N230" s="2">
        <f>4*10</f>
        <v>40</v>
      </c>
      <c r="O230" s="2">
        <f>4*1</f>
        <v>4</v>
      </c>
      <c r="P230" s="2">
        <f>4*2</f>
        <v>8</v>
      </c>
      <c r="Q230" s="2">
        <f>4*7</f>
        <v>28</v>
      </c>
      <c r="R230" s="2">
        <f>4*4</f>
        <v>16</v>
      </c>
      <c r="S230" s="2">
        <f>4*5</f>
        <v>20</v>
      </c>
      <c r="T230" s="2">
        <f>4*6</f>
        <v>24</v>
      </c>
      <c r="U230" s="2">
        <f>4*22</f>
        <v>88</v>
      </c>
      <c r="V230" s="2">
        <v>0</v>
      </c>
      <c r="W230" s="6">
        <f>SUM(Table1[[#This Row],[7:00-8:00]:[22:00-23:00]])</f>
        <v>300</v>
      </c>
    </row>
    <row r="231" spans="2:23" x14ac:dyDescent="0.25">
      <c r="B231" s="96"/>
      <c r="C231" s="92"/>
      <c r="D231" s="2"/>
      <c r="E231" s="28"/>
      <c r="F231" s="23" t="s">
        <v>284</v>
      </c>
      <c r="G231" s="69">
        <f>G228+G230</f>
        <v>8</v>
      </c>
      <c r="H231" s="69">
        <f t="shared" ref="H231:U231" si="63">H228+H230</f>
        <v>44</v>
      </c>
      <c r="I231" s="69">
        <f t="shared" si="63"/>
        <v>32</v>
      </c>
      <c r="J231" s="69">
        <f t="shared" si="63"/>
        <v>72</v>
      </c>
      <c r="K231" s="69">
        <f t="shared" si="63"/>
        <v>84</v>
      </c>
      <c r="L231" s="69">
        <f t="shared" si="63"/>
        <v>76</v>
      </c>
      <c r="M231" s="69">
        <f t="shared" si="63"/>
        <v>140</v>
      </c>
      <c r="N231" s="69">
        <f t="shared" si="63"/>
        <v>172</v>
      </c>
      <c r="O231" s="69">
        <f t="shared" si="63"/>
        <v>104</v>
      </c>
      <c r="P231" s="69">
        <f t="shared" si="63"/>
        <v>120</v>
      </c>
      <c r="Q231" s="69">
        <f t="shared" si="63"/>
        <v>196</v>
      </c>
      <c r="R231" s="69">
        <f t="shared" si="63"/>
        <v>116</v>
      </c>
      <c r="S231" s="69">
        <f t="shared" si="63"/>
        <v>132</v>
      </c>
      <c r="T231" s="69">
        <f t="shared" si="63"/>
        <v>52</v>
      </c>
      <c r="U231" s="69">
        <f t="shared" si="63"/>
        <v>88</v>
      </c>
      <c r="V231" s="69">
        <f>V230</f>
        <v>0</v>
      </c>
      <c r="W231" s="6">
        <f>SUM(Table1[[#This Row],[7:00-8:00]:[22:00-23:00]])</f>
        <v>1436</v>
      </c>
    </row>
    <row r="232" spans="2:23" x14ac:dyDescent="0.25">
      <c r="B232" s="97"/>
      <c r="C232" s="93"/>
      <c r="D232" s="59"/>
      <c r="E232" s="60"/>
      <c r="F232" s="63" t="s">
        <v>285</v>
      </c>
      <c r="G232" s="70">
        <f>G227+G229</f>
        <v>20</v>
      </c>
      <c r="H232" s="70">
        <f t="shared" ref="H232:U232" si="64">H227+H229</f>
        <v>24</v>
      </c>
      <c r="I232" s="70">
        <f t="shared" si="64"/>
        <v>168</v>
      </c>
      <c r="J232" s="70">
        <f t="shared" si="64"/>
        <v>52</v>
      </c>
      <c r="K232" s="70">
        <f t="shared" si="64"/>
        <v>148</v>
      </c>
      <c r="L232" s="70">
        <f t="shared" si="64"/>
        <v>132</v>
      </c>
      <c r="M232" s="70">
        <f t="shared" si="64"/>
        <v>140</v>
      </c>
      <c r="N232" s="70">
        <f t="shared" si="64"/>
        <v>72</v>
      </c>
      <c r="O232" s="70">
        <f t="shared" si="64"/>
        <v>224</v>
      </c>
      <c r="P232" s="70">
        <f t="shared" si="64"/>
        <v>156</v>
      </c>
      <c r="Q232" s="70">
        <f t="shared" si="64"/>
        <v>132</v>
      </c>
      <c r="R232" s="70">
        <f t="shared" si="64"/>
        <v>108</v>
      </c>
      <c r="S232" s="70">
        <f t="shared" si="64"/>
        <v>88</v>
      </c>
      <c r="T232" s="70">
        <f t="shared" si="64"/>
        <v>96</v>
      </c>
      <c r="U232" s="70">
        <f t="shared" si="64"/>
        <v>0</v>
      </c>
      <c r="V232" s="70">
        <f>V229</f>
        <v>0</v>
      </c>
      <c r="W232" s="62">
        <f>SUM(Table1[[#This Row],[7:00-8:00]:[22:00-23:00]])</f>
        <v>1560</v>
      </c>
    </row>
    <row r="233" spans="2:23" x14ac:dyDescent="0.25">
      <c r="B233" s="109">
        <v>37</v>
      </c>
      <c r="C233" s="92" t="s">
        <v>291</v>
      </c>
      <c r="D233" s="2" t="s">
        <v>24</v>
      </c>
      <c r="E233" s="28">
        <v>163</v>
      </c>
      <c r="F233" s="2" t="s">
        <v>292</v>
      </c>
      <c r="G233" s="2">
        <f>4*16</f>
        <v>64</v>
      </c>
      <c r="H233" s="15">
        <f>4*30</f>
        <v>120</v>
      </c>
      <c r="I233" s="2">
        <f>4*27</f>
        <v>108</v>
      </c>
      <c r="J233" s="2">
        <f>4*22</f>
        <v>88</v>
      </c>
      <c r="K233" s="2">
        <f>4*39</f>
        <v>156</v>
      </c>
      <c r="L233" s="2">
        <f>4*32</f>
        <v>128</v>
      </c>
      <c r="M233" s="2">
        <f>4*25</f>
        <v>100</v>
      </c>
      <c r="N233" s="2">
        <f>4*54</f>
        <v>216</v>
      </c>
      <c r="O233" s="2">
        <f>4*33</f>
        <v>132</v>
      </c>
      <c r="P233" s="2">
        <f>4*28</f>
        <v>112</v>
      </c>
      <c r="Q233" s="2">
        <f>4*33</f>
        <v>132</v>
      </c>
      <c r="R233" s="2">
        <f>4*12</f>
        <v>48</v>
      </c>
      <c r="S233" s="2">
        <f>4*78</f>
        <v>312</v>
      </c>
      <c r="T233" s="2">
        <f>4*61</f>
        <v>244</v>
      </c>
      <c r="U233" s="2">
        <f>4*34</f>
        <v>136</v>
      </c>
      <c r="V233" s="2">
        <f>4*31</f>
        <v>124</v>
      </c>
      <c r="W233" s="6">
        <f>SUM(Table1[[#This Row],[7:00-8:00]:[22:00-23:00]])</f>
        <v>2220</v>
      </c>
    </row>
    <row r="234" spans="2:23" x14ac:dyDescent="0.25">
      <c r="B234" s="109"/>
      <c r="C234" s="92"/>
      <c r="D234" s="2" t="s">
        <v>26</v>
      </c>
      <c r="E234" s="28">
        <v>164</v>
      </c>
      <c r="F234" s="2" t="s">
        <v>293</v>
      </c>
      <c r="G234" s="2">
        <f>4*3</f>
        <v>12</v>
      </c>
      <c r="H234" s="15">
        <f>4*12</f>
        <v>48</v>
      </c>
      <c r="I234" s="2">
        <f>4*10</f>
        <v>40</v>
      </c>
      <c r="J234" s="2">
        <f>4*10</f>
        <v>40</v>
      </c>
      <c r="K234" s="2">
        <f>4*6</f>
        <v>24</v>
      </c>
      <c r="L234" s="2">
        <f>4*12</f>
        <v>48</v>
      </c>
      <c r="M234" s="2">
        <f>4*32</f>
        <v>128</v>
      </c>
      <c r="N234" s="2">
        <v>0</v>
      </c>
      <c r="O234" s="2">
        <f>4*30</f>
        <v>120</v>
      </c>
      <c r="P234" s="2">
        <f>4*9</f>
        <v>36</v>
      </c>
      <c r="Q234" s="2">
        <f>4*6</f>
        <v>24</v>
      </c>
      <c r="R234" s="2">
        <f>4*30</f>
        <v>120</v>
      </c>
      <c r="S234" s="2">
        <f>4*3</f>
        <v>12</v>
      </c>
      <c r="T234" s="2">
        <f>4*6</f>
        <v>24</v>
      </c>
      <c r="U234" s="2">
        <f>4*10</f>
        <v>40</v>
      </c>
      <c r="V234" s="2">
        <f>4*16</f>
        <v>64</v>
      </c>
      <c r="W234" s="6">
        <f>SUM(Table1[[#This Row],[7:00-8:00]:[22:00-23:00]])</f>
        <v>780</v>
      </c>
    </row>
    <row r="235" spans="2:23" x14ac:dyDescent="0.25">
      <c r="B235" s="109"/>
      <c r="C235" s="92"/>
      <c r="D235" s="2" t="s">
        <v>28</v>
      </c>
      <c r="E235" s="28">
        <v>165</v>
      </c>
      <c r="F235" s="2" t="s">
        <v>294</v>
      </c>
      <c r="G235" s="2">
        <f>4*3</f>
        <v>12</v>
      </c>
      <c r="H235" s="15">
        <f>4*0</f>
        <v>0</v>
      </c>
      <c r="I235" s="2">
        <f>4*2</f>
        <v>8</v>
      </c>
      <c r="J235" s="2">
        <f>4*10</f>
        <v>40</v>
      </c>
      <c r="K235" s="2">
        <f>4*6</f>
        <v>24</v>
      </c>
      <c r="L235" s="2">
        <f>4*13</f>
        <v>52</v>
      </c>
      <c r="M235" s="2">
        <f>4*3</f>
        <v>12</v>
      </c>
      <c r="N235" s="2">
        <f>4*3</f>
        <v>12</v>
      </c>
      <c r="O235" s="2">
        <f>0</f>
        <v>0</v>
      </c>
      <c r="P235" s="2">
        <f>4*5</f>
        <v>20</v>
      </c>
      <c r="Q235" s="2">
        <f>4*6</f>
        <v>24</v>
      </c>
      <c r="R235" s="2">
        <f>4*0</f>
        <v>0</v>
      </c>
      <c r="S235" s="2">
        <f>4*5</f>
        <v>20</v>
      </c>
      <c r="T235" s="2">
        <v>0</v>
      </c>
      <c r="U235" s="2">
        <f>4*1</f>
        <v>4</v>
      </c>
      <c r="V235" s="2">
        <f>4*0</f>
        <v>0</v>
      </c>
      <c r="W235" s="6">
        <f>SUM(Table1[[#This Row],[7:00-8:00]:[22:00-23:00]])</f>
        <v>228</v>
      </c>
    </row>
    <row r="236" spans="2:23" x14ac:dyDescent="0.25">
      <c r="B236" s="109"/>
      <c r="C236" s="92"/>
      <c r="D236" s="2" t="s">
        <v>30</v>
      </c>
      <c r="E236" s="28">
        <v>166</v>
      </c>
      <c r="F236" s="2" t="s">
        <v>295</v>
      </c>
      <c r="G236" s="2">
        <v>0</v>
      </c>
      <c r="H236" s="15">
        <f>4*2</f>
        <v>8</v>
      </c>
      <c r="I236" s="2">
        <f>4*2</f>
        <v>8</v>
      </c>
      <c r="J236" s="2">
        <f>0</f>
        <v>0</v>
      </c>
      <c r="K236" s="2">
        <v>0</v>
      </c>
      <c r="L236" s="2">
        <f>4*15</f>
        <v>60</v>
      </c>
      <c r="M236" s="2">
        <f>4*13</f>
        <v>52</v>
      </c>
      <c r="N236" s="2">
        <v>0</v>
      </c>
      <c r="O236" s="2">
        <f>4*3</f>
        <v>12</v>
      </c>
      <c r="P236" s="2">
        <f>4*5</f>
        <v>20</v>
      </c>
      <c r="Q236" s="2">
        <f>4*5</f>
        <v>20</v>
      </c>
      <c r="R236" s="2">
        <f>4*3</f>
        <v>12</v>
      </c>
      <c r="S236" s="2">
        <v>0</v>
      </c>
      <c r="T236" s="2">
        <f>4*15</f>
        <v>60</v>
      </c>
      <c r="U236" s="2">
        <f>4*6</f>
        <v>24</v>
      </c>
      <c r="V236" s="2">
        <f>4*18</f>
        <v>72</v>
      </c>
      <c r="W236" s="6">
        <f>SUM(Table1[[#This Row],[7:00-8:00]:[22:00-23:00]])</f>
        <v>348</v>
      </c>
    </row>
    <row r="237" spans="2:23" x14ac:dyDescent="0.25">
      <c r="B237" s="109"/>
      <c r="C237" s="92"/>
      <c r="D237" s="2" t="s">
        <v>32</v>
      </c>
      <c r="E237" s="28">
        <v>167</v>
      </c>
      <c r="F237" s="2" t="s">
        <v>296</v>
      </c>
      <c r="G237" s="2">
        <f>4*19</f>
        <v>76</v>
      </c>
      <c r="H237" s="15">
        <f>4*24</f>
        <v>96</v>
      </c>
      <c r="I237" s="2">
        <f>4*28</f>
        <v>112</v>
      </c>
      <c r="J237" s="2">
        <f>4*42</f>
        <v>168</v>
      </c>
      <c r="K237" s="2">
        <f>4*45</f>
        <v>180</v>
      </c>
      <c r="L237" s="2">
        <f>4*121</f>
        <v>484</v>
      </c>
      <c r="M237" s="2">
        <f>4*118</f>
        <v>472</v>
      </c>
      <c r="N237" s="2">
        <f>4*162</f>
        <v>648</v>
      </c>
      <c r="O237" s="2">
        <f>4*172</f>
        <v>688</v>
      </c>
      <c r="P237" s="2">
        <f>4*121</f>
        <v>484</v>
      </c>
      <c r="Q237" s="2">
        <f>4*117</f>
        <v>468</v>
      </c>
      <c r="R237" s="2">
        <f>4*175</f>
        <v>700</v>
      </c>
      <c r="S237" s="2">
        <f>4*154</f>
        <v>616</v>
      </c>
      <c r="T237" s="2">
        <f>4*88</f>
        <v>352</v>
      </c>
      <c r="U237" s="2">
        <f>4*193</f>
        <v>772</v>
      </c>
      <c r="V237" s="2">
        <f>4*213</f>
        <v>852</v>
      </c>
      <c r="W237" s="6">
        <f>SUM(Table1[[#This Row],[7:00-8:00]:[22:00-23:00]])</f>
        <v>7168</v>
      </c>
    </row>
    <row r="238" spans="2:23" x14ac:dyDescent="0.25">
      <c r="B238" s="109"/>
      <c r="C238" s="92"/>
      <c r="D238" s="2" t="s">
        <v>34</v>
      </c>
      <c r="E238" s="28">
        <v>168</v>
      </c>
      <c r="F238" s="2" t="s">
        <v>297</v>
      </c>
      <c r="G238" s="2">
        <f>4*12</f>
        <v>48</v>
      </c>
      <c r="H238" s="15">
        <f>4*58</f>
        <v>232</v>
      </c>
      <c r="I238" s="2">
        <f>4*312</f>
        <v>1248</v>
      </c>
      <c r="J238" s="2">
        <f>4*201</f>
        <v>804</v>
      </c>
      <c r="K238" s="2">
        <f>4*268</f>
        <v>1072</v>
      </c>
      <c r="L238" s="2">
        <f>4*181</f>
        <v>724</v>
      </c>
      <c r="M238" s="2">
        <f>4*105</f>
        <v>420</v>
      </c>
      <c r="N238" s="2">
        <f>4*237</f>
        <v>948</v>
      </c>
      <c r="O238" s="2">
        <f>4*151</f>
        <v>604</v>
      </c>
      <c r="P238" s="2">
        <f>4*142</f>
        <v>568</v>
      </c>
      <c r="Q238" s="2">
        <f>4*93</f>
        <v>372</v>
      </c>
      <c r="R238" s="2">
        <f>4*91</f>
        <v>364</v>
      </c>
      <c r="S238" s="2">
        <f>4*121</f>
        <v>484</v>
      </c>
      <c r="T238" s="2">
        <f>4*115</f>
        <v>460</v>
      </c>
      <c r="U238" s="2">
        <f>4*72</f>
        <v>288</v>
      </c>
      <c r="V238" s="2">
        <f>4*66</f>
        <v>264</v>
      </c>
      <c r="W238" s="6">
        <f>SUM(Table1[[#This Row],[7:00-8:00]:[22:00-23:00]])</f>
        <v>8900</v>
      </c>
    </row>
    <row r="239" spans="2:23" x14ac:dyDescent="0.25">
      <c r="B239" s="109"/>
      <c r="C239" s="92"/>
      <c r="D239" s="2" t="s">
        <v>298</v>
      </c>
      <c r="E239" s="28">
        <v>169</v>
      </c>
      <c r="F239" s="2" t="s">
        <v>299</v>
      </c>
      <c r="G239" s="71">
        <v>0</v>
      </c>
      <c r="H239" s="2">
        <f>4*32</f>
        <v>128</v>
      </c>
      <c r="I239" s="2">
        <f>4*51</f>
        <v>204</v>
      </c>
      <c r="J239" s="2">
        <f>4*109</f>
        <v>436</v>
      </c>
      <c r="K239" s="2">
        <f>4*110</f>
        <v>440</v>
      </c>
      <c r="L239" s="2">
        <f>4*58</f>
        <v>232</v>
      </c>
      <c r="M239" s="2">
        <f>4*42</f>
        <v>168</v>
      </c>
      <c r="N239" s="2">
        <f>4*39</f>
        <v>156</v>
      </c>
      <c r="O239" s="2">
        <f>4*55</f>
        <v>220</v>
      </c>
      <c r="P239" s="2">
        <f>4*69</f>
        <v>276</v>
      </c>
      <c r="Q239" s="2">
        <f>4*62</f>
        <v>248</v>
      </c>
      <c r="R239" s="2">
        <f>4*71</f>
        <v>284</v>
      </c>
      <c r="S239" s="2">
        <f>4*39</f>
        <v>156</v>
      </c>
      <c r="T239" s="2">
        <f>4*40</f>
        <v>160</v>
      </c>
      <c r="U239" s="2">
        <f>4*15</f>
        <v>60</v>
      </c>
      <c r="V239" s="2">
        <f>4*7</f>
        <v>28</v>
      </c>
      <c r="W239" s="6">
        <f>SUM(Table1[[#This Row],[7:00-8:00]:[22:00-23:00]])</f>
        <v>3196</v>
      </c>
    </row>
    <row r="240" spans="2:23" x14ac:dyDescent="0.25">
      <c r="B240" s="109"/>
      <c r="C240" s="92"/>
      <c r="D240" s="2" t="s">
        <v>300</v>
      </c>
      <c r="E240" s="28">
        <v>170</v>
      </c>
      <c r="F240" s="2" t="s">
        <v>301</v>
      </c>
      <c r="G240" s="71">
        <v>0</v>
      </c>
      <c r="H240" s="64">
        <f>4*26</f>
        <v>104</v>
      </c>
      <c r="I240" s="64">
        <f>4*74</f>
        <v>296</v>
      </c>
      <c r="J240" s="64">
        <f>4*94</f>
        <v>376</v>
      </c>
      <c r="K240" s="64">
        <f>4*42</f>
        <v>168</v>
      </c>
      <c r="L240" s="64">
        <f>4*38</f>
        <v>152</v>
      </c>
      <c r="M240" s="64">
        <f>4*34</f>
        <v>136</v>
      </c>
      <c r="N240" s="64">
        <f>4*40</f>
        <v>160</v>
      </c>
      <c r="O240" s="64">
        <f>4*47</f>
        <v>188</v>
      </c>
      <c r="P240" s="64">
        <f>4*55</f>
        <v>220</v>
      </c>
      <c r="Q240" s="64">
        <f>4*50</f>
        <v>200</v>
      </c>
      <c r="R240" s="64">
        <f>4*20</f>
        <v>80</v>
      </c>
      <c r="S240" s="64">
        <f>4*21</f>
        <v>84</v>
      </c>
      <c r="T240" s="64">
        <f>4*49</f>
        <v>196</v>
      </c>
      <c r="U240" s="64">
        <f>4*12</f>
        <v>48</v>
      </c>
      <c r="V240" s="64">
        <f>4*4</f>
        <v>16</v>
      </c>
      <c r="W240" s="6">
        <f>SUM(Table1[[#This Row],[7:00-8:00]:[22:00-23:00]])</f>
        <v>2424</v>
      </c>
    </row>
    <row r="241" spans="2:23" x14ac:dyDescent="0.25">
      <c r="B241" s="109"/>
      <c r="C241" s="92"/>
      <c r="D241" s="2"/>
      <c r="E241" s="28"/>
      <c r="F241" s="23" t="s">
        <v>302</v>
      </c>
      <c r="G241" s="69">
        <f>G234+G236</f>
        <v>12</v>
      </c>
      <c r="H241" s="69">
        <f t="shared" ref="H241:V241" si="65">H234+H236</f>
        <v>56</v>
      </c>
      <c r="I241" s="69">
        <f t="shared" si="65"/>
        <v>48</v>
      </c>
      <c r="J241" s="69">
        <f t="shared" si="65"/>
        <v>40</v>
      </c>
      <c r="K241" s="69">
        <f t="shared" si="65"/>
        <v>24</v>
      </c>
      <c r="L241" s="69">
        <f t="shared" si="65"/>
        <v>108</v>
      </c>
      <c r="M241" s="69">
        <f t="shared" si="65"/>
        <v>180</v>
      </c>
      <c r="N241" s="69">
        <f t="shared" si="65"/>
        <v>0</v>
      </c>
      <c r="O241" s="69">
        <f t="shared" si="65"/>
        <v>132</v>
      </c>
      <c r="P241" s="69">
        <f t="shared" si="65"/>
        <v>56</v>
      </c>
      <c r="Q241" s="69">
        <f t="shared" si="65"/>
        <v>44</v>
      </c>
      <c r="R241" s="69">
        <f t="shared" si="65"/>
        <v>132</v>
      </c>
      <c r="S241" s="69">
        <f t="shared" si="65"/>
        <v>12</v>
      </c>
      <c r="T241" s="69">
        <f t="shared" si="65"/>
        <v>84</v>
      </c>
      <c r="U241" s="69">
        <f t="shared" si="65"/>
        <v>64</v>
      </c>
      <c r="V241" s="69">
        <f t="shared" si="65"/>
        <v>136</v>
      </c>
      <c r="W241" s="6">
        <f>SUM(Table1[[#This Row],[7:00-8:00]:[22:00-23:00]])</f>
        <v>1128</v>
      </c>
    </row>
    <row r="242" spans="2:23" x14ac:dyDescent="0.25">
      <c r="B242" s="109"/>
      <c r="C242" s="92"/>
      <c r="D242" s="2"/>
      <c r="E242" s="28"/>
      <c r="F242" s="23" t="s">
        <v>303</v>
      </c>
      <c r="G242" s="69">
        <f>G233+G238</f>
        <v>112</v>
      </c>
      <c r="H242" s="69">
        <f t="shared" ref="H242:V242" si="66">H233+H238</f>
        <v>352</v>
      </c>
      <c r="I242" s="69">
        <f t="shared" si="66"/>
        <v>1356</v>
      </c>
      <c r="J242" s="69">
        <f t="shared" si="66"/>
        <v>892</v>
      </c>
      <c r="K242" s="69">
        <f t="shared" si="66"/>
        <v>1228</v>
      </c>
      <c r="L242" s="69">
        <f t="shared" si="66"/>
        <v>852</v>
      </c>
      <c r="M242" s="69">
        <f t="shared" si="66"/>
        <v>520</v>
      </c>
      <c r="N242" s="69">
        <f t="shared" si="66"/>
        <v>1164</v>
      </c>
      <c r="O242" s="69">
        <f t="shared" si="66"/>
        <v>736</v>
      </c>
      <c r="P242" s="69">
        <f t="shared" si="66"/>
        <v>680</v>
      </c>
      <c r="Q242" s="69">
        <f t="shared" si="66"/>
        <v>504</v>
      </c>
      <c r="R242" s="69">
        <f t="shared" si="66"/>
        <v>412</v>
      </c>
      <c r="S242" s="69">
        <f t="shared" si="66"/>
        <v>796</v>
      </c>
      <c r="T242" s="69">
        <f t="shared" si="66"/>
        <v>704</v>
      </c>
      <c r="U242" s="69">
        <f t="shared" si="66"/>
        <v>424</v>
      </c>
      <c r="V242" s="69">
        <f t="shared" si="66"/>
        <v>388</v>
      </c>
      <c r="W242" s="6">
        <f>SUM(Table1[[#This Row],[7:00-8:00]:[22:00-23:00]])</f>
        <v>11120</v>
      </c>
    </row>
    <row r="243" spans="2:23" x14ac:dyDescent="0.25">
      <c r="B243" s="110"/>
      <c r="C243" s="93"/>
      <c r="D243" s="59"/>
      <c r="E243" s="60"/>
      <c r="F243" s="63" t="s">
        <v>304</v>
      </c>
      <c r="G243" s="70">
        <f>G235+G237</f>
        <v>88</v>
      </c>
      <c r="H243" s="70">
        <f t="shared" ref="H243:V243" si="67">H235+H237+H240</f>
        <v>200</v>
      </c>
      <c r="I243" s="70">
        <f t="shared" si="67"/>
        <v>416</v>
      </c>
      <c r="J243" s="70">
        <f t="shared" si="67"/>
        <v>584</v>
      </c>
      <c r="K243" s="70">
        <f t="shared" si="67"/>
        <v>372</v>
      </c>
      <c r="L243" s="70">
        <f t="shared" si="67"/>
        <v>688</v>
      </c>
      <c r="M243" s="70">
        <f t="shared" si="67"/>
        <v>620</v>
      </c>
      <c r="N243" s="70">
        <f t="shared" si="67"/>
        <v>820</v>
      </c>
      <c r="O243" s="70">
        <f t="shared" si="67"/>
        <v>876</v>
      </c>
      <c r="P243" s="70">
        <f t="shared" si="67"/>
        <v>724</v>
      </c>
      <c r="Q243" s="70">
        <f t="shared" si="67"/>
        <v>692</v>
      </c>
      <c r="R243" s="70">
        <f t="shared" si="67"/>
        <v>780</v>
      </c>
      <c r="S243" s="70">
        <f t="shared" si="67"/>
        <v>720</v>
      </c>
      <c r="T243" s="70">
        <f t="shared" si="67"/>
        <v>548</v>
      </c>
      <c r="U243" s="70">
        <f t="shared" si="67"/>
        <v>824</v>
      </c>
      <c r="V243" s="70">
        <f t="shared" si="67"/>
        <v>868</v>
      </c>
      <c r="W243" s="62">
        <f>SUM(Table1[[#This Row],[7:00-8:00]:[22:00-23:00]])</f>
        <v>9820</v>
      </c>
    </row>
    <row r="244" spans="2:23" x14ac:dyDescent="0.25">
      <c r="B244" s="96">
        <v>38</v>
      </c>
      <c r="C244" s="92" t="s">
        <v>305</v>
      </c>
      <c r="D244" s="2" t="s">
        <v>24</v>
      </c>
      <c r="E244" s="28">
        <v>171</v>
      </c>
      <c r="F244" s="2" t="s">
        <v>306</v>
      </c>
      <c r="G244" s="2">
        <f>4*3</f>
        <v>12</v>
      </c>
      <c r="H244" s="15">
        <v>0</v>
      </c>
      <c r="I244" s="2">
        <f>4*5</f>
        <v>20</v>
      </c>
      <c r="J244" s="2">
        <f>4*6</f>
        <v>24</v>
      </c>
      <c r="K244" s="2">
        <f>4*12</f>
        <v>48</v>
      </c>
      <c r="L244" s="2">
        <f>4*11</f>
        <v>44</v>
      </c>
      <c r="M244" s="2">
        <f>4*15</f>
        <v>60</v>
      </c>
      <c r="N244" s="2">
        <f>4*9</f>
        <v>36</v>
      </c>
      <c r="O244" s="2">
        <f>4*12</f>
        <v>48</v>
      </c>
      <c r="P244" s="2">
        <f>4*7</f>
        <v>28</v>
      </c>
      <c r="Q244" s="2">
        <f>4*5</f>
        <v>20</v>
      </c>
      <c r="R244" s="2">
        <f>4*5</f>
        <v>20</v>
      </c>
      <c r="S244" s="2">
        <f>4*6</f>
        <v>24</v>
      </c>
      <c r="T244" s="2">
        <f>4*25</f>
        <v>100</v>
      </c>
      <c r="U244" s="2">
        <f>4*33</f>
        <v>132</v>
      </c>
      <c r="V244" s="2">
        <f>4*6</f>
        <v>24</v>
      </c>
      <c r="W244" s="6">
        <f>SUM(Table1[[#This Row],[7:00-8:00]:[22:00-23:00]])</f>
        <v>640</v>
      </c>
    </row>
    <row r="245" spans="2:23" x14ac:dyDescent="0.25">
      <c r="B245" s="96"/>
      <c r="C245" s="92"/>
      <c r="D245" s="2" t="s">
        <v>26</v>
      </c>
      <c r="E245" s="28">
        <v>172</v>
      </c>
      <c r="F245" s="2" t="s">
        <v>307</v>
      </c>
      <c r="G245" s="2">
        <f>0</f>
        <v>0</v>
      </c>
      <c r="H245" s="15">
        <f>4*4</f>
        <v>16</v>
      </c>
      <c r="I245" s="2">
        <v>0</v>
      </c>
      <c r="J245" s="2">
        <f>4*3</f>
        <v>12</v>
      </c>
      <c r="K245" s="2">
        <f>4*5</f>
        <v>20</v>
      </c>
      <c r="L245" s="2">
        <f>4*7</f>
        <v>28</v>
      </c>
      <c r="M245" s="2">
        <f>4*9</f>
        <v>36</v>
      </c>
      <c r="N245" s="2">
        <f>4*5</f>
        <v>20</v>
      </c>
      <c r="O245" s="2">
        <f>4*10</f>
        <v>40</v>
      </c>
      <c r="P245" s="2">
        <f>4*11</f>
        <v>44</v>
      </c>
      <c r="Q245" s="2">
        <f>4*9</f>
        <v>36</v>
      </c>
      <c r="R245" s="2">
        <f>4*22</f>
        <v>88</v>
      </c>
      <c r="S245" s="2">
        <f>4*16</f>
        <v>64</v>
      </c>
      <c r="T245" s="2">
        <f>4*17</f>
        <v>68</v>
      </c>
      <c r="U245" s="2">
        <f>4*25</f>
        <v>100</v>
      </c>
      <c r="V245" s="2">
        <f>4*9</f>
        <v>36</v>
      </c>
      <c r="W245" s="6">
        <f>SUM(Table1[[#This Row],[7:00-8:00]:[22:00-23:00]])</f>
        <v>608</v>
      </c>
    </row>
    <row r="246" spans="2:23" x14ac:dyDescent="0.25">
      <c r="B246" s="96"/>
      <c r="C246" s="92"/>
      <c r="D246" s="2" t="s">
        <v>28</v>
      </c>
      <c r="E246" s="28">
        <v>173</v>
      </c>
      <c r="F246" s="2" t="s">
        <v>308</v>
      </c>
      <c r="G246" s="2">
        <f>4*3</f>
        <v>12</v>
      </c>
      <c r="H246" s="15">
        <f>4*9</f>
        <v>36</v>
      </c>
      <c r="I246" s="2">
        <f>4*12</f>
        <v>48</v>
      </c>
      <c r="J246" s="2">
        <f>4*14</f>
        <v>56</v>
      </c>
      <c r="K246" s="2">
        <f>4*12</f>
        <v>48</v>
      </c>
      <c r="L246" s="2">
        <f>4*20</f>
        <v>80</v>
      </c>
      <c r="M246" s="2">
        <f>4*76</f>
        <v>304</v>
      </c>
      <c r="N246" s="2">
        <f>4*73</f>
        <v>292</v>
      </c>
      <c r="O246" s="2">
        <f>4*75</f>
        <v>300</v>
      </c>
      <c r="P246" s="2">
        <f>4*63</f>
        <v>252</v>
      </c>
      <c r="Q246" s="2">
        <f>4*43</f>
        <v>172</v>
      </c>
      <c r="R246" s="2">
        <f>4*21</f>
        <v>84</v>
      </c>
      <c r="S246" s="2">
        <f>4*23</f>
        <v>92</v>
      </c>
      <c r="T246" s="2">
        <f>4*35</f>
        <v>140</v>
      </c>
      <c r="U246" s="2">
        <f>4*48</f>
        <v>192</v>
      </c>
      <c r="V246" s="2">
        <f>4*15</f>
        <v>60</v>
      </c>
      <c r="W246" s="6">
        <f>SUM(Table1[[#This Row],[7:00-8:00]:[22:00-23:00]])</f>
        <v>2168</v>
      </c>
    </row>
    <row r="247" spans="2:23" x14ac:dyDescent="0.25">
      <c r="B247" s="96"/>
      <c r="C247" s="92"/>
      <c r="D247" s="2" t="s">
        <v>30</v>
      </c>
      <c r="E247" s="28">
        <v>174</v>
      </c>
      <c r="F247" s="2" t="s">
        <v>309</v>
      </c>
      <c r="G247" s="2">
        <f>4*6</f>
        <v>24</v>
      </c>
      <c r="H247" s="15">
        <f>4*9</f>
        <v>36</v>
      </c>
      <c r="I247" s="2">
        <f>4*15</f>
        <v>60</v>
      </c>
      <c r="J247" s="2">
        <f>4*27</f>
        <v>108</v>
      </c>
      <c r="K247" s="2">
        <f>4*30</f>
        <v>120</v>
      </c>
      <c r="L247" s="2">
        <f>4*33</f>
        <v>132</v>
      </c>
      <c r="M247" s="2">
        <f>4*36</f>
        <v>144</v>
      </c>
      <c r="N247" s="2">
        <f>4*102</f>
        <v>408</v>
      </c>
      <c r="O247" s="2">
        <f>4*108</f>
        <v>432</v>
      </c>
      <c r="P247" s="2">
        <f>4*79</f>
        <v>316</v>
      </c>
      <c r="Q247" s="2">
        <f>4*51</f>
        <v>204</v>
      </c>
      <c r="R247" s="2">
        <f>4*55</f>
        <v>220</v>
      </c>
      <c r="S247" s="2">
        <f>4*53</f>
        <v>212</v>
      </c>
      <c r="T247" s="2">
        <f>4*79</f>
        <v>316</v>
      </c>
      <c r="U247" s="2">
        <f>4*108</f>
        <v>432</v>
      </c>
      <c r="V247" s="2">
        <f>4*81</f>
        <v>324</v>
      </c>
      <c r="W247" s="6">
        <f>SUM(Table1[[#This Row],[7:00-8:00]:[22:00-23:00]])</f>
        <v>3488</v>
      </c>
    </row>
    <row r="248" spans="2:23" x14ac:dyDescent="0.25">
      <c r="B248" s="96"/>
      <c r="C248" s="92"/>
      <c r="D248" s="2" t="s">
        <v>32</v>
      </c>
      <c r="E248" s="28">
        <v>175</v>
      </c>
      <c r="F248" s="2" t="s">
        <v>310</v>
      </c>
      <c r="G248" s="2">
        <f>4*2</f>
        <v>8</v>
      </c>
      <c r="H248" s="15">
        <f>4*7</f>
        <v>28</v>
      </c>
      <c r="I248" s="2">
        <f>4*13</f>
        <v>52</v>
      </c>
      <c r="J248" s="2">
        <f>4*18</f>
        <v>72</v>
      </c>
      <c r="K248" s="2">
        <f>4*30</f>
        <v>120</v>
      </c>
      <c r="L248" s="2">
        <f>4*29</f>
        <v>116</v>
      </c>
      <c r="M248" s="2">
        <f>4*31</f>
        <v>124</v>
      </c>
      <c r="N248" s="2">
        <f>4*39</f>
        <v>156</v>
      </c>
      <c r="O248" s="2">
        <f>4*41</f>
        <v>164</v>
      </c>
      <c r="P248" s="2">
        <f>4*37</f>
        <v>148</v>
      </c>
      <c r="Q248" s="2">
        <f>4*27</f>
        <v>108</v>
      </c>
      <c r="R248" s="2">
        <f>4*39</f>
        <v>156</v>
      </c>
      <c r="S248" s="2">
        <f>4*36</f>
        <v>144</v>
      </c>
      <c r="T248" s="2">
        <f>4*42</f>
        <v>168</v>
      </c>
      <c r="U248" s="2">
        <f>4*55</f>
        <v>220</v>
      </c>
      <c r="V248" s="2">
        <f>4*51</f>
        <v>204</v>
      </c>
      <c r="W248" s="6">
        <f>SUM(Table1[[#This Row],[7:00-8:00]:[22:00-23:00]])</f>
        <v>1988</v>
      </c>
    </row>
    <row r="249" spans="2:23" x14ac:dyDescent="0.25">
      <c r="B249" s="96"/>
      <c r="C249" s="92"/>
      <c r="D249" s="2" t="s">
        <v>34</v>
      </c>
      <c r="E249" s="28">
        <v>176</v>
      </c>
      <c r="F249" s="2" t="s">
        <v>311</v>
      </c>
      <c r="G249" s="2">
        <f>4*9</f>
        <v>36</v>
      </c>
      <c r="H249" s="15">
        <f>4*24</f>
        <v>96</v>
      </c>
      <c r="I249" s="2">
        <f>4*25</f>
        <v>100</v>
      </c>
      <c r="J249" s="2">
        <f>4*17</f>
        <v>68</v>
      </c>
      <c r="K249" s="2">
        <f>4*16</f>
        <v>64</v>
      </c>
      <c r="L249" s="2">
        <f>4*35</f>
        <v>140</v>
      </c>
      <c r="M249" s="2">
        <f>4*78</f>
        <v>312</v>
      </c>
      <c r="N249" s="2">
        <f>4*33</f>
        <v>132</v>
      </c>
      <c r="O249" s="2">
        <f>4*58</f>
        <v>232</v>
      </c>
      <c r="P249" s="2">
        <f>4*48</f>
        <v>192</v>
      </c>
      <c r="Q249" s="2">
        <f>4*36</f>
        <v>144</v>
      </c>
      <c r="R249" s="2">
        <f>4*90</f>
        <v>360</v>
      </c>
      <c r="S249" s="2">
        <f>4*86</f>
        <v>344</v>
      </c>
      <c r="T249" s="2">
        <f>4*52</f>
        <v>208</v>
      </c>
      <c r="U249" s="2">
        <f>4*45</f>
        <v>180</v>
      </c>
      <c r="V249" s="2">
        <f>4*40</f>
        <v>160</v>
      </c>
      <c r="W249" s="6">
        <f>SUM(Table1[[#This Row],[7:00-8:00]:[22:00-23:00]])</f>
        <v>2768</v>
      </c>
    </row>
    <row r="250" spans="2:23" x14ac:dyDescent="0.25">
      <c r="B250" s="96"/>
      <c r="C250" s="92"/>
      <c r="D250" s="2"/>
      <c r="E250" s="28"/>
      <c r="F250" s="23" t="s">
        <v>312</v>
      </c>
      <c r="G250" s="69">
        <f>G245+G247</f>
        <v>24</v>
      </c>
      <c r="H250" s="69">
        <f t="shared" ref="H250:V250" si="68">H245+H247</f>
        <v>52</v>
      </c>
      <c r="I250" s="69">
        <f t="shared" si="68"/>
        <v>60</v>
      </c>
      <c r="J250" s="69">
        <f t="shared" si="68"/>
        <v>120</v>
      </c>
      <c r="K250" s="69">
        <f t="shared" si="68"/>
        <v>140</v>
      </c>
      <c r="L250" s="69">
        <f t="shared" si="68"/>
        <v>160</v>
      </c>
      <c r="M250" s="69">
        <f t="shared" si="68"/>
        <v>180</v>
      </c>
      <c r="N250" s="69">
        <f t="shared" si="68"/>
        <v>428</v>
      </c>
      <c r="O250" s="69">
        <f t="shared" si="68"/>
        <v>472</v>
      </c>
      <c r="P250" s="69">
        <f t="shared" si="68"/>
        <v>360</v>
      </c>
      <c r="Q250" s="69">
        <f t="shared" si="68"/>
        <v>240</v>
      </c>
      <c r="R250" s="69">
        <f t="shared" si="68"/>
        <v>308</v>
      </c>
      <c r="S250" s="69">
        <f t="shared" si="68"/>
        <v>276</v>
      </c>
      <c r="T250" s="69">
        <f t="shared" si="68"/>
        <v>384</v>
      </c>
      <c r="U250" s="69">
        <f t="shared" si="68"/>
        <v>532</v>
      </c>
      <c r="V250" s="69">
        <f t="shared" si="68"/>
        <v>360</v>
      </c>
      <c r="W250" s="6">
        <f>SUM(Table1[[#This Row],[7:00-8:00]:[22:00-23:00]])</f>
        <v>4096</v>
      </c>
    </row>
    <row r="251" spans="2:23" x14ac:dyDescent="0.25">
      <c r="B251" s="96"/>
      <c r="C251" s="92"/>
      <c r="D251" s="2"/>
      <c r="E251" s="28"/>
      <c r="F251" s="23" t="s">
        <v>313</v>
      </c>
      <c r="G251" s="69">
        <f>G244+G249</f>
        <v>48</v>
      </c>
      <c r="H251" s="69">
        <f t="shared" ref="H251:V251" si="69">H244+H249</f>
        <v>96</v>
      </c>
      <c r="I251" s="69">
        <f t="shared" si="69"/>
        <v>120</v>
      </c>
      <c r="J251" s="69">
        <f t="shared" si="69"/>
        <v>92</v>
      </c>
      <c r="K251" s="69">
        <f t="shared" si="69"/>
        <v>112</v>
      </c>
      <c r="L251" s="69">
        <f t="shared" si="69"/>
        <v>184</v>
      </c>
      <c r="M251" s="69">
        <f t="shared" si="69"/>
        <v>372</v>
      </c>
      <c r="N251" s="69">
        <f t="shared" si="69"/>
        <v>168</v>
      </c>
      <c r="O251" s="69">
        <f t="shared" si="69"/>
        <v>280</v>
      </c>
      <c r="P251" s="69">
        <f t="shared" si="69"/>
        <v>220</v>
      </c>
      <c r="Q251" s="69">
        <f t="shared" si="69"/>
        <v>164</v>
      </c>
      <c r="R251" s="69">
        <f t="shared" si="69"/>
        <v>380</v>
      </c>
      <c r="S251" s="69">
        <f t="shared" si="69"/>
        <v>368</v>
      </c>
      <c r="T251" s="69">
        <f t="shared" si="69"/>
        <v>308</v>
      </c>
      <c r="U251" s="69">
        <f t="shared" si="69"/>
        <v>312</v>
      </c>
      <c r="V251" s="69">
        <f t="shared" si="69"/>
        <v>184</v>
      </c>
      <c r="W251" s="6">
        <f>SUM(Table1[[#This Row],[7:00-8:00]:[22:00-23:00]])</f>
        <v>3408</v>
      </c>
    </row>
    <row r="252" spans="2:23" x14ac:dyDescent="0.25">
      <c r="B252" s="97"/>
      <c r="C252" s="93"/>
      <c r="D252" s="59"/>
      <c r="E252" s="60"/>
      <c r="F252" s="63" t="s">
        <v>314</v>
      </c>
      <c r="G252" s="70">
        <f>G246+G248</f>
        <v>20</v>
      </c>
      <c r="H252" s="70">
        <f t="shared" ref="H252:V252" si="70">H246+H248</f>
        <v>64</v>
      </c>
      <c r="I252" s="70">
        <f t="shared" si="70"/>
        <v>100</v>
      </c>
      <c r="J252" s="70">
        <f t="shared" si="70"/>
        <v>128</v>
      </c>
      <c r="K252" s="70">
        <f t="shared" si="70"/>
        <v>168</v>
      </c>
      <c r="L252" s="70">
        <f t="shared" si="70"/>
        <v>196</v>
      </c>
      <c r="M252" s="70">
        <f t="shared" si="70"/>
        <v>428</v>
      </c>
      <c r="N252" s="70">
        <f t="shared" si="70"/>
        <v>448</v>
      </c>
      <c r="O252" s="70">
        <f t="shared" si="70"/>
        <v>464</v>
      </c>
      <c r="P252" s="70">
        <f t="shared" si="70"/>
        <v>400</v>
      </c>
      <c r="Q252" s="70">
        <f t="shared" si="70"/>
        <v>280</v>
      </c>
      <c r="R252" s="70">
        <f t="shared" si="70"/>
        <v>240</v>
      </c>
      <c r="S252" s="70">
        <f t="shared" si="70"/>
        <v>236</v>
      </c>
      <c r="T252" s="70">
        <f t="shared" si="70"/>
        <v>308</v>
      </c>
      <c r="U252" s="70">
        <f t="shared" si="70"/>
        <v>412</v>
      </c>
      <c r="V252" s="70">
        <f t="shared" si="70"/>
        <v>264</v>
      </c>
      <c r="W252" s="62">
        <f>SUM(Table1[[#This Row],[7:00-8:00]:[22:00-23:00]])</f>
        <v>4156</v>
      </c>
    </row>
    <row r="253" spans="2:23" x14ac:dyDescent="0.25">
      <c r="B253" s="96">
        <v>39</v>
      </c>
      <c r="C253" s="92" t="s">
        <v>315</v>
      </c>
      <c r="D253" s="2" t="s">
        <v>24</v>
      </c>
      <c r="E253" s="28">
        <v>177</v>
      </c>
      <c r="F253" s="2" t="s">
        <v>316</v>
      </c>
      <c r="G253" s="2">
        <f>4*2</f>
        <v>8</v>
      </c>
      <c r="H253" s="15">
        <f>4*2</f>
        <v>8</v>
      </c>
      <c r="I253" s="2">
        <f>4*0</f>
        <v>0</v>
      </c>
      <c r="J253" s="2">
        <v>0</v>
      </c>
      <c r="K253" s="2">
        <f>4*3</f>
        <v>12</v>
      </c>
      <c r="L253" s="2">
        <v>0</v>
      </c>
      <c r="M253" s="2">
        <f>4*2</f>
        <v>8</v>
      </c>
      <c r="N253" s="2">
        <f>4*0</f>
        <v>0</v>
      </c>
      <c r="O253" s="2">
        <f>4*3</f>
        <v>12</v>
      </c>
      <c r="P253" s="2">
        <f>4*1</f>
        <v>4</v>
      </c>
      <c r="Q253" s="2">
        <f>4*3</f>
        <v>12</v>
      </c>
      <c r="R253" s="2">
        <f>4*5</f>
        <v>20</v>
      </c>
      <c r="S253" s="2">
        <f>4*8</f>
        <v>32</v>
      </c>
      <c r="T253" s="2">
        <v>0</v>
      </c>
      <c r="U253" s="2">
        <v>0</v>
      </c>
      <c r="V253" s="2">
        <v>0</v>
      </c>
      <c r="W253" s="6">
        <f>SUM(Table1[[#This Row],[7:00-8:00]:[22:00-23:00]])</f>
        <v>116</v>
      </c>
    </row>
    <row r="254" spans="2:23" x14ac:dyDescent="0.25">
      <c r="B254" s="96"/>
      <c r="C254" s="92"/>
      <c r="D254" s="2" t="s">
        <v>26</v>
      </c>
      <c r="E254" s="28">
        <v>178</v>
      </c>
      <c r="F254" s="2" t="s">
        <v>317</v>
      </c>
      <c r="G254" s="2">
        <v>0</v>
      </c>
      <c r="H254" s="15">
        <f>4*2</f>
        <v>8</v>
      </c>
      <c r="I254" s="2">
        <f>4*3</f>
        <v>12</v>
      </c>
      <c r="J254" s="2">
        <v>0</v>
      </c>
      <c r="K254" s="2">
        <f>4*17</f>
        <v>68</v>
      </c>
      <c r="L254" s="2">
        <f>4*3</f>
        <v>12</v>
      </c>
      <c r="M254" s="2">
        <f>4*5</f>
        <v>20</v>
      </c>
      <c r="N254" s="2">
        <f>4*16</f>
        <v>64</v>
      </c>
      <c r="O254" s="2">
        <f>4*6</f>
        <v>24</v>
      </c>
      <c r="P254" s="2">
        <f>4*3</f>
        <v>12</v>
      </c>
      <c r="Q254" s="2">
        <f>4*7</f>
        <v>28</v>
      </c>
      <c r="R254" s="2">
        <f>4*7</f>
        <v>28</v>
      </c>
      <c r="S254" s="2">
        <f>4*6</f>
        <v>24</v>
      </c>
      <c r="T254" s="2">
        <v>0</v>
      </c>
      <c r="U254" s="2">
        <v>0</v>
      </c>
      <c r="V254" s="2">
        <f>4*31</f>
        <v>124</v>
      </c>
      <c r="W254" s="6">
        <f>SUM(Table1[[#This Row],[7:00-8:00]:[22:00-23:00]])</f>
        <v>424</v>
      </c>
    </row>
    <row r="255" spans="2:23" x14ac:dyDescent="0.25">
      <c r="B255" s="96"/>
      <c r="C255" s="92"/>
      <c r="D255" s="2" t="s">
        <v>28</v>
      </c>
      <c r="E255" s="28">
        <v>179</v>
      </c>
      <c r="F255" s="2" t="s">
        <v>318</v>
      </c>
      <c r="G255" s="2">
        <f>4*3</f>
        <v>12</v>
      </c>
      <c r="H255" s="15">
        <f>4*6</f>
        <v>24</v>
      </c>
      <c r="I255" s="2">
        <f>4*10</f>
        <v>40</v>
      </c>
      <c r="J255" s="2">
        <f>4*15</f>
        <v>60</v>
      </c>
      <c r="K255" s="2">
        <f>4*10</f>
        <v>40</v>
      </c>
      <c r="L255" s="2">
        <f>4*14</f>
        <v>56</v>
      </c>
      <c r="M255" s="2">
        <f>4*10</f>
        <v>40</v>
      </c>
      <c r="N255" s="2">
        <f>4*7</f>
        <v>28</v>
      </c>
      <c r="O255" s="2">
        <f>4*8</f>
        <v>32</v>
      </c>
      <c r="P255" s="2">
        <f>4*16</f>
        <v>64</v>
      </c>
      <c r="Q255" s="2">
        <f>4*19</f>
        <v>76</v>
      </c>
      <c r="R255" s="2">
        <f>4*7</f>
        <v>28</v>
      </c>
      <c r="S255" s="2">
        <f>4*12</f>
        <v>48</v>
      </c>
      <c r="T255" s="2">
        <f>4*11</f>
        <v>44</v>
      </c>
      <c r="U255" s="2">
        <f>4*12</f>
        <v>48</v>
      </c>
      <c r="V255" s="2">
        <f>4*30</f>
        <v>120</v>
      </c>
      <c r="W255" s="6">
        <f>SUM(Table1[[#This Row],[7:00-8:00]:[22:00-23:00]])</f>
        <v>760</v>
      </c>
    </row>
    <row r="256" spans="2:23" x14ac:dyDescent="0.25">
      <c r="B256" s="96"/>
      <c r="C256" s="92"/>
      <c r="D256" s="2" t="s">
        <v>30</v>
      </c>
      <c r="E256" s="28">
        <v>180</v>
      </c>
      <c r="F256" s="2" t="s">
        <v>319</v>
      </c>
      <c r="G256" s="2">
        <v>0</v>
      </c>
      <c r="H256" s="15">
        <f>4*7</f>
        <v>28</v>
      </c>
      <c r="I256" s="2">
        <f>4*0</f>
        <v>0</v>
      </c>
      <c r="J256" s="2">
        <v>0</v>
      </c>
      <c r="K256" s="2">
        <f>4*18</f>
        <v>72</v>
      </c>
      <c r="L256" s="2">
        <f>4*24</f>
        <v>96</v>
      </c>
      <c r="M256" s="2">
        <f>4*20</f>
        <v>80</v>
      </c>
      <c r="N256" s="2">
        <f>4*22</f>
        <v>88</v>
      </c>
      <c r="O256" s="2">
        <f>4*18</f>
        <v>72</v>
      </c>
      <c r="P256" s="2">
        <f>4*15</f>
        <v>60</v>
      </c>
      <c r="Q256" s="2">
        <f>4*15</f>
        <v>60</v>
      </c>
      <c r="R256" s="2">
        <f>4*30</f>
        <v>120</v>
      </c>
      <c r="S256" s="2">
        <f>4*16</f>
        <v>64</v>
      </c>
      <c r="T256" s="2">
        <f>4*14</f>
        <v>56</v>
      </c>
      <c r="U256" s="2">
        <f>4*16</f>
        <v>64</v>
      </c>
      <c r="V256" s="2">
        <f>4*9</f>
        <v>36</v>
      </c>
      <c r="W256" s="6">
        <f>SUM(Table1[[#This Row],[7:00-8:00]:[22:00-23:00]])</f>
        <v>896</v>
      </c>
    </row>
    <row r="257" spans="2:23" x14ac:dyDescent="0.25">
      <c r="B257" s="96"/>
      <c r="C257" s="92"/>
      <c r="D257" s="2"/>
      <c r="E257" s="28"/>
      <c r="F257" s="23" t="s">
        <v>320</v>
      </c>
      <c r="G257" s="69">
        <f>G253+G255</f>
        <v>20</v>
      </c>
      <c r="H257" s="69">
        <f t="shared" ref="H257:V257" si="71">H253+H255</f>
        <v>32</v>
      </c>
      <c r="I257" s="69">
        <f t="shared" si="71"/>
        <v>40</v>
      </c>
      <c r="J257" s="69">
        <f t="shared" si="71"/>
        <v>60</v>
      </c>
      <c r="K257" s="69">
        <f t="shared" si="71"/>
        <v>52</v>
      </c>
      <c r="L257" s="69">
        <f t="shared" si="71"/>
        <v>56</v>
      </c>
      <c r="M257" s="69">
        <f t="shared" si="71"/>
        <v>48</v>
      </c>
      <c r="N257" s="69">
        <f t="shared" si="71"/>
        <v>28</v>
      </c>
      <c r="O257" s="69">
        <f t="shared" si="71"/>
        <v>44</v>
      </c>
      <c r="P257" s="69">
        <f t="shared" si="71"/>
        <v>68</v>
      </c>
      <c r="Q257" s="69">
        <f t="shared" si="71"/>
        <v>88</v>
      </c>
      <c r="R257" s="69">
        <f t="shared" si="71"/>
        <v>48</v>
      </c>
      <c r="S257" s="69">
        <f t="shared" si="71"/>
        <v>80</v>
      </c>
      <c r="T257" s="69">
        <f t="shared" si="71"/>
        <v>44</v>
      </c>
      <c r="U257" s="69">
        <f t="shared" si="71"/>
        <v>48</v>
      </c>
      <c r="V257" s="69">
        <f t="shared" si="71"/>
        <v>120</v>
      </c>
      <c r="W257" s="6">
        <f>SUM(Table1[[#This Row],[7:00-8:00]:[22:00-23:00]])</f>
        <v>876</v>
      </c>
    </row>
    <row r="258" spans="2:23" x14ac:dyDescent="0.25">
      <c r="B258" s="97"/>
      <c r="C258" s="93"/>
      <c r="D258" s="59"/>
      <c r="E258" s="60"/>
      <c r="F258" s="63" t="s">
        <v>321</v>
      </c>
      <c r="G258" s="70">
        <f>G254+G256</f>
        <v>0</v>
      </c>
      <c r="H258" s="70">
        <f t="shared" ref="H258:V258" si="72">H254+H256</f>
        <v>36</v>
      </c>
      <c r="I258" s="70">
        <f t="shared" si="72"/>
        <v>12</v>
      </c>
      <c r="J258" s="70">
        <f t="shared" si="72"/>
        <v>0</v>
      </c>
      <c r="K258" s="70">
        <f t="shared" si="72"/>
        <v>140</v>
      </c>
      <c r="L258" s="70">
        <f t="shared" si="72"/>
        <v>108</v>
      </c>
      <c r="M258" s="70">
        <f t="shared" si="72"/>
        <v>100</v>
      </c>
      <c r="N258" s="70">
        <f t="shared" si="72"/>
        <v>152</v>
      </c>
      <c r="O258" s="70">
        <f t="shared" si="72"/>
        <v>96</v>
      </c>
      <c r="P258" s="70">
        <f t="shared" si="72"/>
        <v>72</v>
      </c>
      <c r="Q258" s="70">
        <f t="shared" si="72"/>
        <v>88</v>
      </c>
      <c r="R258" s="70">
        <f t="shared" si="72"/>
        <v>148</v>
      </c>
      <c r="S258" s="70">
        <f t="shared" si="72"/>
        <v>88</v>
      </c>
      <c r="T258" s="70">
        <f t="shared" si="72"/>
        <v>56</v>
      </c>
      <c r="U258" s="70">
        <f t="shared" si="72"/>
        <v>64</v>
      </c>
      <c r="V258" s="70">
        <f t="shared" si="72"/>
        <v>160</v>
      </c>
      <c r="W258" s="62">
        <f>SUM(Table1[[#This Row],[7:00-8:00]:[22:00-23:00]])</f>
        <v>1320</v>
      </c>
    </row>
    <row r="259" spans="2:23" x14ac:dyDescent="0.25">
      <c r="B259" s="96">
        <v>40</v>
      </c>
      <c r="C259" s="92" t="s">
        <v>322</v>
      </c>
      <c r="D259" s="2" t="s">
        <v>24</v>
      </c>
      <c r="E259" s="28">
        <v>181</v>
      </c>
      <c r="F259" s="2" t="s">
        <v>323</v>
      </c>
      <c r="G259" s="2">
        <f>4*9</f>
        <v>36</v>
      </c>
      <c r="H259" s="15">
        <f>4*7</f>
        <v>28</v>
      </c>
      <c r="I259" s="2">
        <f>4*21</f>
        <v>84</v>
      </c>
      <c r="J259" s="2">
        <f>4*15</f>
        <v>60</v>
      </c>
      <c r="K259" s="2">
        <f>4*21</f>
        <v>84</v>
      </c>
      <c r="L259" s="2">
        <f>4*32</f>
        <v>128</v>
      </c>
      <c r="M259" s="2">
        <f>4*36</f>
        <v>144</v>
      </c>
      <c r="N259" s="2">
        <f>4*32</f>
        <v>128</v>
      </c>
      <c r="O259" s="2">
        <f>4*29</f>
        <v>116</v>
      </c>
      <c r="P259" s="2">
        <f>4*16</f>
        <v>64</v>
      </c>
      <c r="Q259" s="2">
        <f>4*6</f>
        <v>24</v>
      </c>
      <c r="R259" s="2">
        <f>4*13</f>
        <v>52</v>
      </c>
      <c r="S259" s="2">
        <f>4*14</f>
        <v>56</v>
      </c>
      <c r="T259" s="2">
        <f>4*25</f>
        <v>100</v>
      </c>
      <c r="U259" s="2">
        <f>4*39</f>
        <v>156</v>
      </c>
      <c r="V259" s="2">
        <f>4*9</f>
        <v>36</v>
      </c>
      <c r="W259" s="6">
        <f>SUM(Table1[[#This Row],[7:00-8:00]:[22:00-23:00]])</f>
        <v>1296</v>
      </c>
    </row>
    <row r="260" spans="2:23" x14ac:dyDescent="0.25">
      <c r="B260" s="96"/>
      <c r="C260" s="92"/>
      <c r="D260" s="2" t="s">
        <v>26</v>
      </c>
      <c r="E260" s="28">
        <v>182</v>
      </c>
      <c r="F260" s="2" t="s">
        <v>324</v>
      </c>
      <c r="G260" s="2">
        <f>4*3</f>
        <v>12</v>
      </c>
      <c r="H260" s="15">
        <f>4*6</f>
        <v>24</v>
      </c>
      <c r="I260" s="2">
        <f>4*7</f>
        <v>28</v>
      </c>
      <c r="J260" s="2">
        <f>4*10</f>
        <v>40</v>
      </c>
      <c r="K260" s="2">
        <f>4*21</f>
        <v>84</v>
      </c>
      <c r="L260" s="2">
        <f>4*37</f>
        <v>148</v>
      </c>
      <c r="M260" s="2">
        <f>4*45</f>
        <v>180</v>
      </c>
      <c r="N260" s="2">
        <f>4*37</f>
        <v>148</v>
      </c>
      <c r="O260" s="2">
        <f>4*33</f>
        <v>132</v>
      </c>
      <c r="P260" s="2">
        <f>4*23</f>
        <v>92</v>
      </c>
      <c r="Q260" s="2">
        <f>4*21</f>
        <v>84</v>
      </c>
      <c r="R260" s="2">
        <f>4*27</f>
        <v>108</v>
      </c>
      <c r="S260" s="2">
        <f>4*24</f>
        <v>96</v>
      </c>
      <c r="T260" s="2">
        <f>4*31</f>
        <v>124</v>
      </c>
      <c r="U260" s="2">
        <f>4*25</f>
        <v>100</v>
      </c>
      <c r="V260" s="2">
        <f>4*27</f>
        <v>108</v>
      </c>
      <c r="W260" s="6">
        <f>SUM(Table1[[#This Row],[7:00-8:00]:[22:00-23:00]])</f>
        <v>1508</v>
      </c>
    </row>
    <row r="261" spans="2:23" x14ac:dyDescent="0.25">
      <c r="B261" s="96"/>
      <c r="C261" s="92"/>
      <c r="D261" s="2" t="s">
        <v>28</v>
      </c>
      <c r="E261" s="28">
        <v>183</v>
      </c>
      <c r="F261" s="2" t="s">
        <v>325</v>
      </c>
      <c r="G261" s="2">
        <f>4*2</f>
        <v>8</v>
      </c>
      <c r="H261" s="15">
        <f>4*5</f>
        <v>20</v>
      </c>
      <c r="I261" s="2">
        <f>4*15</f>
        <v>60</v>
      </c>
      <c r="J261" s="2">
        <f>4*24</f>
        <v>96</v>
      </c>
      <c r="K261" s="2">
        <f>4*22</f>
        <v>88</v>
      </c>
      <c r="L261" s="2">
        <f>4*9</f>
        <v>36</v>
      </c>
      <c r="M261" s="2">
        <f>4*20</f>
        <v>80</v>
      </c>
      <c r="N261" s="2">
        <f>4*24</f>
        <v>96</v>
      </c>
      <c r="O261" s="2">
        <f>4*21</f>
        <v>84</v>
      </c>
      <c r="P261" s="2">
        <f>4*13</f>
        <v>52</v>
      </c>
      <c r="Q261" s="2">
        <f>4*7</f>
        <v>28</v>
      </c>
      <c r="R261" s="2">
        <f>4*15</f>
        <v>60</v>
      </c>
      <c r="S261" s="2">
        <f>4*17</f>
        <v>68</v>
      </c>
      <c r="T261" s="2">
        <f>4*26</f>
        <v>104</v>
      </c>
      <c r="U261" s="2">
        <f>4*46</f>
        <v>184</v>
      </c>
      <c r="V261" s="2">
        <f>4*22</f>
        <v>88</v>
      </c>
      <c r="W261" s="6">
        <f>SUM(Table1[[#This Row],[7:00-8:00]:[22:00-23:00]])</f>
        <v>1152</v>
      </c>
    </row>
    <row r="262" spans="2:23" x14ac:dyDescent="0.25">
      <c r="B262" s="96"/>
      <c r="C262" s="92"/>
      <c r="D262" s="2" t="s">
        <v>30</v>
      </c>
      <c r="E262" s="28">
        <v>184</v>
      </c>
      <c r="F262" s="2" t="s">
        <v>326</v>
      </c>
      <c r="G262" s="2">
        <f>4*2</f>
        <v>8</v>
      </c>
      <c r="H262" s="15">
        <f>4*5</f>
        <v>20</v>
      </c>
      <c r="I262" s="2">
        <f>4*3</f>
        <v>12</v>
      </c>
      <c r="J262" s="2">
        <f>4*7</f>
        <v>28</v>
      </c>
      <c r="K262" s="2">
        <f>4*18</f>
        <v>72</v>
      </c>
      <c r="L262" s="2">
        <f>4*42</f>
        <v>168</v>
      </c>
      <c r="M262" s="2">
        <f>4*46</f>
        <v>184</v>
      </c>
      <c r="N262" s="2">
        <f>4*31</f>
        <v>124</v>
      </c>
      <c r="O262" s="2">
        <f>4*26</f>
        <v>104</v>
      </c>
      <c r="P262" s="2">
        <f>4*17</f>
        <v>68</v>
      </c>
      <c r="Q262" s="2">
        <f>4*34</f>
        <v>136</v>
      </c>
      <c r="R262" s="2">
        <f>4*27</f>
        <v>108</v>
      </c>
      <c r="S262" s="2">
        <f>4*30</f>
        <v>120</v>
      </c>
      <c r="T262" s="2">
        <f>4*32</f>
        <v>128</v>
      </c>
      <c r="U262" s="2">
        <f>4*54</f>
        <v>216</v>
      </c>
      <c r="V262" s="2">
        <f>4*24</f>
        <v>96</v>
      </c>
      <c r="W262" s="6">
        <f>SUM(Table1[[#This Row],[7:00-8:00]:[22:00-23:00]])</f>
        <v>1592</v>
      </c>
    </row>
    <row r="263" spans="2:23" x14ac:dyDescent="0.25">
      <c r="B263" s="96"/>
      <c r="C263" s="92"/>
      <c r="D263" s="2"/>
      <c r="E263" s="28"/>
      <c r="F263" s="23" t="s">
        <v>314</v>
      </c>
      <c r="G263" s="69">
        <f>G259+G261</f>
        <v>44</v>
      </c>
      <c r="H263" s="69">
        <f t="shared" ref="H263:V263" si="73">H259+H261</f>
        <v>48</v>
      </c>
      <c r="I263" s="69">
        <f t="shared" si="73"/>
        <v>144</v>
      </c>
      <c r="J263" s="69">
        <f t="shared" si="73"/>
        <v>156</v>
      </c>
      <c r="K263" s="69">
        <f t="shared" si="73"/>
        <v>172</v>
      </c>
      <c r="L263" s="69">
        <f t="shared" si="73"/>
        <v>164</v>
      </c>
      <c r="M263" s="69">
        <f t="shared" si="73"/>
        <v>224</v>
      </c>
      <c r="N263" s="69">
        <f t="shared" si="73"/>
        <v>224</v>
      </c>
      <c r="O263" s="69">
        <f t="shared" si="73"/>
        <v>200</v>
      </c>
      <c r="P263" s="69">
        <f t="shared" si="73"/>
        <v>116</v>
      </c>
      <c r="Q263" s="69">
        <f t="shared" si="73"/>
        <v>52</v>
      </c>
      <c r="R263" s="69">
        <f t="shared" si="73"/>
        <v>112</v>
      </c>
      <c r="S263" s="69">
        <f t="shared" si="73"/>
        <v>124</v>
      </c>
      <c r="T263" s="69">
        <f t="shared" si="73"/>
        <v>204</v>
      </c>
      <c r="U263" s="69">
        <f t="shared" si="73"/>
        <v>340</v>
      </c>
      <c r="V263" s="69">
        <f t="shared" si="73"/>
        <v>124</v>
      </c>
      <c r="W263" s="6">
        <f>SUM(Table1[[#This Row],[7:00-8:00]:[22:00-23:00]])</f>
        <v>2448</v>
      </c>
    </row>
    <row r="264" spans="2:23" x14ac:dyDescent="0.25">
      <c r="B264" s="97"/>
      <c r="C264" s="93"/>
      <c r="D264" s="59"/>
      <c r="E264" s="60"/>
      <c r="F264" s="63" t="s">
        <v>327</v>
      </c>
      <c r="G264" s="70">
        <f>G260+G262</f>
        <v>20</v>
      </c>
      <c r="H264" s="70">
        <f t="shared" ref="H264:V264" si="74">H260+H262</f>
        <v>44</v>
      </c>
      <c r="I264" s="70">
        <f t="shared" si="74"/>
        <v>40</v>
      </c>
      <c r="J264" s="70">
        <f t="shared" si="74"/>
        <v>68</v>
      </c>
      <c r="K264" s="70">
        <f t="shared" si="74"/>
        <v>156</v>
      </c>
      <c r="L264" s="70">
        <f t="shared" si="74"/>
        <v>316</v>
      </c>
      <c r="M264" s="70">
        <f t="shared" si="74"/>
        <v>364</v>
      </c>
      <c r="N264" s="70">
        <f t="shared" si="74"/>
        <v>272</v>
      </c>
      <c r="O264" s="70">
        <f t="shared" si="74"/>
        <v>236</v>
      </c>
      <c r="P264" s="70">
        <f t="shared" si="74"/>
        <v>160</v>
      </c>
      <c r="Q264" s="70">
        <f t="shared" si="74"/>
        <v>220</v>
      </c>
      <c r="R264" s="70">
        <f t="shared" si="74"/>
        <v>216</v>
      </c>
      <c r="S264" s="70">
        <f t="shared" si="74"/>
        <v>216</v>
      </c>
      <c r="T264" s="70">
        <f t="shared" si="74"/>
        <v>252</v>
      </c>
      <c r="U264" s="70">
        <f t="shared" si="74"/>
        <v>316</v>
      </c>
      <c r="V264" s="70">
        <f t="shared" si="74"/>
        <v>204</v>
      </c>
      <c r="W264" s="62">
        <f>SUM(Table1[[#This Row],[7:00-8:00]:[22:00-23:00]])</f>
        <v>3100</v>
      </c>
    </row>
    <row r="265" spans="2:23" s="36" customFormat="1" x14ac:dyDescent="0.25">
      <c r="B265" s="96">
        <v>41</v>
      </c>
      <c r="C265" s="94" t="s">
        <v>328</v>
      </c>
      <c r="D265" s="5" t="s">
        <v>24</v>
      </c>
      <c r="E265" s="29">
        <v>185</v>
      </c>
      <c r="F265" s="5" t="s">
        <v>329</v>
      </c>
      <c r="G265" s="5">
        <f>4*12</f>
        <v>48</v>
      </c>
      <c r="H265" s="33">
        <f>4*31</f>
        <v>124</v>
      </c>
      <c r="I265" s="5">
        <f>4*87</f>
        <v>348</v>
      </c>
      <c r="J265" s="5">
        <f>4*104</f>
        <v>416</v>
      </c>
      <c r="K265" s="5">
        <f>4*97</f>
        <v>388</v>
      </c>
      <c r="L265" s="5">
        <f>4*64</f>
        <v>256</v>
      </c>
      <c r="M265" s="5">
        <f>4*49</f>
        <v>196</v>
      </c>
      <c r="N265" s="5">
        <f>4*55</f>
        <v>220</v>
      </c>
      <c r="O265" s="5">
        <f>4*67</f>
        <v>268</v>
      </c>
      <c r="P265" s="5">
        <f>4*56</f>
        <v>224</v>
      </c>
      <c r="Q265" s="5">
        <f>4*78</f>
        <v>312</v>
      </c>
      <c r="R265" s="5">
        <f>4*71</f>
        <v>284</v>
      </c>
      <c r="S265" s="5">
        <f>4*112</f>
        <v>448</v>
      </c>
      <c r="T265" s="5">
        <f>4*87</f>
        <v>348</v>
      </c>
      <c r="U265" s="5">
        <f>4*87</f>
        <v>348</v>
      </c>
      <c r="V265" s="5">
        <f>4*54</f>
        <v>216</v>
      </c>
      <c r="W265" s="68">
        <f>SUM(Table1[[#This Row],[7:00-8:00]:[22:00-23:00]])</f>
        <v>4444</v>
      </c>
    </row>
    <row r="266" spans="2:23" s="36" customFormat="1" x14ac:dyDescent="0.25">
      <c r="B266" s="96"/>
      <c r="C266" s="94"/>
      <c r="D266" s="5" t="s">
        <v>26</v>
      </c>
      <c r="E266" s="29">
        <v>186</v>
      </c>
      <c r="F266" s="5" t="s">
        <v>330</v>
      </c>
      <c r="G266" s="5">
        <f>4*21</f>
        <v>84</v>
      </c>
      <c r="H266" s="33">
        <f>4*64</f>
        <v>256</v>
      </c>
      <c r="I266" s="5">
        <f>4*105</f>
        <v>420</v>
      </c>
      <c r="J266" s="5">
        <f>4*97</f>
        <v>388</v>
      </c>
      <c r="K266" s="5">
        <f>4*100</f>
        <v>400</v>
      </c>
      <c r="L266" s="5">
        <f>4*67</f>
        <v>268</v>
      </c>
      <c r="M266" s="5">
        <f>4*38</f>
        <v>152</v>
      </c>
      <c r="N266" s="5">
        <f>4*47</f>
        <v>188</v>
      </c>
      <c r="O266" s="5">
        <f>4*81</f>
        <v>324</v>
      </c>
      <c r="P266" s="5">
        <f>4*48</f>
        <v>192</v>
      </c>
      <c r="Q266" s="5">
        <f>4*108</f>
        <v>432</v>
      </c>
      <c r="R266" s="5">
        <f>4*134</f>
        <v>536</v>
      </c>
      <c r="S266" s="5">
        <f>4*139</f>
        <v>556</v>
      </c>
      <c r="T266" s="5">
        <f>4*97</f>
        <v>388</v>
      </c>
      <c r="U266" s="5">
        <f>4*66</f>
        <v>264</v>
      </c>
      <c r="V266" s="5">
        <f>4*38</f>
        <v>152</v>
      </c>
      <c r="W266" s="68">
        <f>SUM(Table1[[#This Row],[7:00-8:00]:[22:00-23:00]])</f>
        <v>5000</v>
      </c>
    </row>
    <row r="267" spans="2:23" s="36" customFormat="1" x14ac:dyDescent="0.25">
      <c r="B267" s="96"/>
      <c r="C267" s="94"/>
      <c r="D267" s="5" t="s">
        <v>28</v>
      </c>
      <c r="E267" s="29">
        <v>187</v>
      </c>
      <c r="F267" s="5" t="s">
        <v>331</v>
      </c>
      <c r="G267" s="5">
        <f>4*7</f>
        <v>28</v>
      </c>
      <c r="H267" s="33">
        <f>4*23</f>
        <v>92</v>
      </c>
      <c r="I267" s="5">
        <f>4*37</f>
        <v>148</v>
      </c>
      <c r="J267" s="5">
        <f>4*48</f>
        <v>192</v>
      </c>
      <c r="K267" s="5">
        <f>4*36</f>
        <v>144</v>
      </c>
      <c r="L267" s="5">
        <f>4*22</f>
        <v>88</v>
      </c>
      <c r="M267" s="5">
        <f>4*23</f>
        <v>92</v>
      </c>
      <c r="N267" s="5">
        <f>4*26</f>
        <v>104</v>
      </c>
      <c r="O267" s="5">
        <f>4*37</f>
        <v>148</v>
      </c>
      <c r="P267" s="5">
        <f>4*35</f>
        <v>140</v>
      </c>
      <c r="Q267" s="5">
        <f>4*52</f>
        <v>208</v>
      </c>
      <c r="R267" s="5">
        <f>4*42</f>
        <v>168</v>
      </c>
      <c r="S267" s="5">
        <f>4*55</f>
        <v>220</v>
      </c>
      <c r="T267" s="5">
        <f>4*38</f>
        <v>152</v>
      </c>
      <c r="U267" s="5">
        <f>4*51</f>
        <v>204</v>
      </c>
      <c r="V267" s="5">
        <f>4*5</f>
        <v>20</v>
      </c>
      <c r="W267" s="68">
        <f>SUM(Table1[[#This Row],[7:00-8:00]:[22:00-23:00]])</f>
        <v>2148</v>
      </c>
    </row>
    <row r="268" spans="2:23" s="36" customFormat="1" x14ac:dyDescent="0.25">
      <c r="B268" s="96"/>
      <c r="C268" s="94"/>
      <c r="D268" s="5" t="s">
        <v>30</v>
      </c>
      <c r="E268" s="29">
        <v>188</v>
      </c>
      <c r="F268" s="5" t="s">
        <v>332</v>
      </c>
      <c r="G268" s="5">
        <f>4*6</f>
        <v>24</v>
      </c>
      <c r="H268" s="33">
        <f>4*19</f>
        <v>76</v>
      </c>
      <c r="I268" s="5">
        <f>4*29</f>
        <v>116</v>
      </c>
      <c r="J268" s="5">
        <f>4*49</f>
        <v>196</v>
      </c>
      <c r="K268" s="5">
        <f>4*44</f>
        <v>176</v>
      </c>
      <c r="L268" s="5">
        <f>4*37</f>
        <v>148</v>
      </c>
      <c r="M268" s="5">
        <f>4*21</f>
        <v>84</v>
      </c>
      <c r="N268" s="5">
        <f>4*34</f>
        <v>136</v>
      </c>
      <c r="O268" s="5">
        <f>4*39</f>
        <v>156</v>
      </c>
      <c r="P268" s="5">
        <f>4*57</f>
        <v>228</v>
      </c>
      <c r="Q268" s="5">
        <f>4*37</f>
        <v>148</v>
      </c>
      <c r="R268" s="5">
        <f>4*35</f>
        <v>140</v>
      </c>
      <c r="S268" s="5">
        <f>4*39</f>
        <v>156</v>
      </c>
      <c r="T268" s="5">
        <f>4*21</f>
        <v>84</v>
      </c>
      <c r="U268" s="5">
        <f>4*33</f>
        <v>132</v>
      </c>
      <c r="V268" s="5">
        <f>4*7</f>
        <v>28</v>
      </c>
      <c r="W268" s="68">
        <f>SUM(Table1[[#This Row],[7:00-8:00]:[22:00-23:00]])</f>
        <v>2028</v>
      </c>
    </row>
    <row r="269" spans="2:23" s="36" customFormat="1" x14ac:dyDescent="0.25">
      <c r="B269" s="96"/>
      <c r="C269" s="94"/>
      <c r="D269" s="5" t="s">
        <v>32</v>
      </c>
      <c r="E269" s="29">
        <v>189</v>
      </c>
      <c r="F269" s="5" t="s">
        <v>333</v>
      </c>
      <c r="G269" s="5">
        <f>4*22</f>
        <v>88</v>
      </c>
      <c r="H269" s="33">
        <f>4*154</f>
        <v>616</v>
      </c>
      <c r="I269" s="5">
        <f>4*172</f>
        <v>688</v>
      </c>
      <c r="J269" s="5">
        <f>4*267</f>
        <v>1068</v>
      </c>
      <c r="K269" s="5">
        <f>4*249</f>
        <v>996</v>
      </c>
      <c r="L269" s="5">
        <f>4*99</f>
        <v>396</v>
      </c>
      <c r="M269" s="5">
        <f>4*78</f>
        <v>312</v>
      </c>
      <c r="N269" s="5">
        <f>4*97</f>
        <v>388</v>
      </c>
      <c r="O269" s="5">
        <f>4*97</f>
        <v>388</v>
      </c>
      <c r="P269" s="5">
        <f>4*82</f>
        <v>328</v>
      </c>
      <c r="Q269" s="5">
        <f>4*98</f>
        <v>392</v>
      </c>
      <c r="R269" s="5">
        <f>4*197</f>
        <v>788</v>
      </c>
      <c r="S269" s="5">
        <f>4*223</f>
        <v>892</v>
      </c>
      <c r="T269" s="5">
        <f>4*178</f>
        <v>712</v>
      </c>
      <c r="U269" s="5">
        <f>4*187</f>
        <v>748</v>
      </c>
      <c r="V269" s="5">
        <f>4*62</f>
        <v>248</v>
      </c>
      <c r="W269" s="68">
        <f>SUM(Table1[[#This Row],[7:00-8:00]:[22:00-23:00]])</f>
        <v>9048</v>
      </c>
    </row>
    <row r="270" spans="2:23" s="36" customFormat="1" x14ac:dyDescent="0.25">
      <c r="B270" s="96"/>
      <c r="C270" s="94"/>
      <c r="D270" s="5" t="s">
        <v>34</v>
      </c>
      <c r="E270" s="29">
        <v>190</v>
      </c>
      <c r="F270" s="5" t="s">
        <v>334</v>
      </c>
      <c r="G270" s="5">
        <f>4*18</f>
        <v>72</v>
      </c>
      <c r="H270" s="33">
        <f>4*46</f>
        <v>184</v>
      </c>
      <c r="I270" s="5">
        <f>4*91</f>
        <v>364</v>
      </c>
      <c r="J270" s="5">
        <f>4*245</f>
        <v>980</v>
      </c>
      <c r="K270" s="5">
        <f>4*271</f>
        <v>1084</v>
      </c>
      <c r="L270" s="5">
        <f>4*124</f>
        <v>496</v>
      </c>
      <c r="M270" s="5">
        <f>4*104</f>
        <v>416</v>
      </c>
      <c r="N270" s="5">
        <f>4*134</f>
        <v>536</v>
      </c>
      <c r="O270" s="5">
        <f>4*187</f>
        <v>748</v>
      </c>
      <c r="P270" s="5">
        <f>4*112</f>
        <v>448</v>
      </c>
      <c r="Q270" s="5">
        <f>4*138</f>
        <v>552</v>
      </c>
      <c r="R270" s="5">
        <f>4*201</f>
        <v>804</v>
      </c>
      <c r="S270" s="5">
        <f>4*187</f>
        <v>748</v>
      </c>
      <c r="T270" s="5">
        <f>4*170</f>
        <v>680</v>
      </c>
      <c r="U270" s="5">
        <f>4*179</f>
        <v>716</v>
      </c>
      <c r="V270" s="5">
        <f>4*52</f>
        <v>208</v>
      </c>
      <c r="W270" s="68">
        <f>SUM(Table1[[#This Row],[7:00-8:00]:[22:00-23:00]])</f>
        <v>9036</v>
      </c>
    </row>
    <row r="271" spans="2:23" s="36" customFormat="1" x14ac:dyDescent="0.25">
      <c r="B271" s="96"/>
      <c r="C271" s="94"/>
      <c r="D271" s="5"/>
      <c r="E271" s="29"/>
      <c r="F271" s="77" t="s">
        <v>320</v>
      </c>
      <c r="G271" s="49">
        <f>G266+G268</f>
        <v>108</v>
      </c>
      <c r="H271" s="49">
        <f t="shared" ref="H271:V271" si="75">H266+H268</f>
        <v>332</v>
      </c>
      <c r="I271" s="49">
        <f t="shared" si="75"/>
        <v>536</v>
      </c>
      <c r="J271" s="49">
        <f t="shared" si="75"/>
        <v>584</v>
      </c>
      <c r="K271" s="49">
        <f t="shared" si="75"/>
        <v>576</v>
      </c>
      <c r="L271" s="49">
        <f t="shared" si="75"/>
        <v>416</v>
      </c>
      <c r="M271" s="49">
        <f t="shared" si="75"/>
        <v>236</v>
      </c>
      <c r="N271" s="49">
        <f t="shared" si="75"/>
        <v>324</v>
      </c>
      <c r="O271" s="49">
        <f t="shared" si="75"/>
        <v>480</v>
      </c>
      <c r="P271" s="49">
        <f t="shared" si="75"/>
        <v>420</v>
      </c>
      <c r="Q271" s="49">
        <f t="shared" si="75"/>
        <v>580</v>
      </c>
      <c r="R271" s="49">
        <f t="shared" si="75"/>
        <v>676</v>
      </c>
      <c r="S271" s="49">
        <f t="shared" si="75"/>
        <v>712</v>
      </c>
      <c r="T271" s="49">
        <f t="shared" si="75"/>
        <v>472</v>
      </c>
      <c r="U271" s="49">
        <f t="shared" si="75"/>
        <v>396</v>
      </c>
      <c r="V271" s="49">
        <f t="shared" si="75"/>
        <v>180</v>
      </c>
      <c r="W271" s="68">
        <f>SUM(Table1[[#This Row],[7:00-8:00]:[22:00-23:00]])</f>
        <v>7028</v>
      </c>
    </row>
    <row r="272" spans="2:23" s="36" customFormat="1" x14ac:dyDescent="0.25">
      <c r="B272" s="96"/>
      <c r="C272" s="94"/>
      <c r="D272" s="5"/>
      <c r="E272" s="29"/>
      <c r="F272" s="77" t="s">
        <v>335</v>
      </c>
      <c r="G272" s="49">
        <f>G265+G270</f>
        <v>120</v>
      </c>
      <c r="H272" s="49">
        <f t="shared" ref="H272:V272" si="76">H265+H270</f>
        <v>308</v>
      </c>
      <c r="I272" s="49">
        <f t="shared" si="76"/>
        <v>712</v>
      </c>
      <c r="J272" s="49">
        <f t="shared" si="76"/>
        <v>1396</v>
      </c>
      <c r="K272" s="49">
        <f t="shared" si="76"/>
        <v>1472</v>
      </c>
      <c r="L272" s="49">
        <f t="shared" si="76"/>
        <v>752</v>
      </c>
      <c r="M272" s="49">
        <f t="shared" si="76"/>
        <v>612</v>
      </c>
      <c r="N272" s="49">
        <f t="shared" si="76"/>
        <v>756</v>
      </c>
      <c r="O272" s="49">
        <f t="shared" si="76"/>
        <v>1016</v>
      </c>
      <c r="P272" s="49">
        <f t="shared" si="76"/>
        <v>672</v>
      </c>
      <c r="Q272" s="49">
        <f t="shared" si="76"/>
        <v>864</v>
      </c>
      <c r="R272" s="49">
        <f t="shared" si="76"/>
        <v>1088</v>
      </c>
      <c r="S272" s="49">
        <f t="shared" si="76"/>
        <v>1196</v>
      </c>
      <c r="T272" s="49">
        <f t="shared" si="76"/>
        <v>1028</v>
      </c>
      <c r="U272" s="49">
        <f t="shared" si="76"/>
        <v>1064</v>
      </c>
      <c r="V272" s="49">
        <f t="shared" si="76"/>
        <v>424</v>
      </c>
      <c r="W272" s="68">
        <f>SUM(Table1[[#This Row],[7:00-8:00]:[22:00-23:00]])</f>
        <v>13480</v>
      </c>
    </row>
    <row r="273" spans="2:23" s="36" customFormat="1" x14ac:dyDescent="0.25">
      <c r="B273" s="98"/>
      <c r="C273" s="95"/>
      <c r="D273" s="78"/>
      <c r="E273" s="79"/>
      <c r="F273" s="80" t="s">
        <v>336</v>
      </c>
      <c r="G273" s="81">
        <f>G267+G269</f>
        <v>116</v>
      </c>
      <c r="H273" s="81">
        <f t="shared" ref="H273:V273" si="77">H267+H269</f>
        <v>708</v>
      </c>
      <c r="I273" s="81">
        <f t="shared" si="77"/>
        <v>836</v>
      </c>
      <c r="J273" s="81">
        <f t="shared" si="77"/>
        <v>1260</v>
      </c>
      <c r="K273" s="81">
        <f t="shared" si="77"/>
        <v>1140</v>
      </c>
      <c r="L273" s="81">
        <f t="shared" si="77"/>
        <v>484</v>
      </c>
      <c r="M273" s="81">
        <f t="shared" si="77"/>
        <v>404</v>
      </c>
      <c r="N273" s="81">
        <f t="shared" si="77"/>
        <v>492</v>
      </c>
      <c r="O273" s="81">
        <f t="shared" si="77"/>
        <v>536</v>
      </c>
      <c r="P273" s="81">
        <f t="shared" si="77"/>
        <v>468</v>
      </c>
      <c r="Q273" s="81">
        <f t="shared" si="77"/>
        <v>600</v>
      </c>
      <c r="R273" s="81">
        <f t="shared" si="77"/>
        <v>956</v>
      </c>
      <c r="S273" s="81">
        <f t="shared" si="77"/>
        <v>1112</v>
      </c>
      <c r="T273" s="81">
        <f t="shared" si="77"/>
        <v>864</v>
      </c>
      <c r="U273" s="81">
        <f t="shared" si="77"/>
        <v>952</v>
      </c>
      <c r="V273" s="81">
        <f t="shared" si="77"/>
        <v>268</v>
      </c>
      <c r="W273" s="82">
        <f>SUM(Table1[[#This Row],[7:00-8:00]:[22:00-23:00]])</f>
        <v>11196</v>
      </c>
    </row>
  </sheetData>
  <mergeCells count="84">
    <mergeCell ref="B196:B197"/>
    <mergeCell ref="B198:B199"/>
    <mergeCell ref="B200:B201"/>
    <mergeCell ref="B211:B212"/>
    <mergeCell ref="B202:B210"/>
    <mergeCell ref="C187:C188"/>
    <mergeCell ref="B187:B188"/>
    <mergeCell ref="B189:B193"/>
    <mergeCell ref="C189:C193"/>
    <mergeCell ref="C194:C195"/>
    <mergeCell ref="B194:B195"/>
    <mergeCell ref="C183:C184"/>
    <mergeCell ref="B183:B184"/>
    <mergeCell ref="B185:B186"/>
    <mergeCell ref="C185:C186"/>
    <mergeCell ref="C159:C164"/>
    <mergeCell ref="B159:B164"/>
    <mergeCell ref="C174:C182"/>
    <mergeCell ref="B174:B182"/>
    <mergeCell ref="B165:B173"/>
    <mergeCell ref="C165:C173"/>
    <mergeCell ref="C115:C122"/>
    <mergeCell ref="B115:B122"/>
    <mergeCell ref="C123:C131"/>
    <mergeCell ref="B123:B131"/>
    <mergeCell ref="B150:B158"/>
    <mergeCell ref="C150:C158"/>
    <mergeCell ref="C141:C149"/>
    <mergeCell ref="B141:B149"/>
    <mergeCell ref="B103:B104"/>
    <mergeCell ref="C105:C112"/>
    <mergeCell ref="B105:B112"/>
    <mergeCell ref="C113:C114"/>
    <mergeCell ref="B113:B114"/>
    <mergeCell ref="C103:C104"/>
    <mergeCell ref="C2:C10"/>
    <mergeCell ref="B2:B10"/>
    <mergeCell ref="C11:C17"/>
    <mergeCell ref="B11:B17"/>
    <mergeCell ref="C132:C140"/>
    <mergeCell ref="B132:B140"/>
    <mergeCell ref="C18:C26"/>
    <mergeCell ref="B18:B26"/>
    <mergeCell ref="C27:C35"/>
    <mergeCell ref="B27:B35"/>
    <mergeCell ref="C36:C44"/>
    <mergeCell ref="B36:B44"/>
    <mergeCell ref="C45:C56"/>
    <mergeCell ref="B45:B56"/>
    <mergeCell ref="C59:C67"/>
    <mergeCell ref="B59:B67"/>
    <mergeCell ref="C233:C243"/>
    <mergeCell ref="C244:C252"/>
    <mergeCell ref="C253:C258"/>
    <mergeCell ref="B221:B226"/>
    <mergeCell ref="B227:B232"/>
    <mergeCell ref="B233:B243"/>
    <mergeCell ref="B244:B252"/>
    <mergeCell ref="C213:C220"/>
    <mergeCell ref="B213:B220"/>
    <mergeCell ref="C211:C212"/>
    <mergeCell ref="C221:C226"/>
    <mergeCell ref="C227:C232"/>
    <mergeCell ref="C202:C210"/>
    <mergeCell ref="B57:B58"/>
    <mergeCell ref="C57:C58"/>
    <mergeCell ref="C196:C197"/>
    <mergeCell ref="C198:C199"/>
    <mergeCell ref="C200:C201"/>
    <mergeCell ref="B68:B73"/>
    <mergeCell ref="C68:C73"/>
    <mergeCell ref="C74:C82"/>
    <mergeCell ref="B74:B82"/>
    <mergeCell ref="C83:C91"/>
    <mergeCell ref="B83:B91"/>
    <mergeCell ref="C92:C100"/>
    <mergeCell ref="B92:B100"/>
    <mergeCell ref="B101:B102"/>
    <mergeCell ref="C101:C102"/>
    <mergeCell ref="C259:C264"/>
    <mergeCell ref="C265:C273"/>
    <mergeCell ref="B253:B258"/>
    <mergeCell ref="B259:B264"/>
    <mergeCell ref="B265:B273"/>
  </mergeCells>
  <phoneticPr fontId="5" type="noConversion"/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HLAVNÍ_VÝSLEDKY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Kryštof Kratochvíl</dc:creator>
  <cp:keywords/>
  <dc:description/>
  <cp:lastModifiedBy>Kryštof Kratochvíl</cp:lastModifiedBy>
  <cp:revision/>
  <dcterms:created xsi:type="dcterms:W3CDTF">2018-05-28T21:12:09Z</dcterms:created>
  <dcterms:modified xsi:type="dcterms:W3CDTF">2019-08-12T20:31:22Z</dcterms:modified>
  <cp:category/>
  <cp:contentStatus/>
</cp:coreProperties>
</file>